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180" windowWidth="21810" windowHeight="12840" tabRatio="813" firstSheet="3" activeTab="3"/>
  </bookViews>
  <sheets>
    <sheet name="от продуктов" sheetId="1" state="hidden" r:id="rId1"/>
    <sheet name="от продуктов (МРОТ)" sheetId="9" state="hidden" r:id="rId2"/>
    <sheet name="расчет по учреждениям" sheetId="4" state="hidden" r:id="rId3"/>
    <sheet name="присмотр МДОО" sheetId="5" r:id="rId4"/>
    <sheet name="присмотр гр КВП" sheetId="3" state="hidden" r:id="rId5"/>
    <sheet name="кр-вр преб по учрежд" sheetId="6" state="hidden" r:id="rId6"/>
    <sheet name="Анализ 2021 г." sheetId="7" state="hidden" r:id="rId7"/>
    <sheet name="от индекса" sheetId="2" state="hidden" r:id="rId8"/>
    <sheet name="Анализ 2022" sheetId="8" state="hidden" r:id="rId9"/>
  </sheets>
  <definedNames>
    <definedName name="_xlnm.Print_Area" localSheetId="6">'Анализ 2021 г.'!$A$1:$O$40</definedName>
    <definedName name="_xlnm.Print_Area" localSheetId="8">'Анализ 2022'!$A$2:$AM$43</definedName>
    <definedName name="_xlnm.Print_Area" localSheetId="7">'от индекса'!$A$2:$M$42</definedName>
    <definedName name="_xlnm.Print_Area" localSheetId="4">'присмотр гр КВП'!$A$1:$J$49</definedName>
    <definedName name="_xlnm.Print_Area" localSheetId="3">'присмотр МДОО'!$A$1:$J$88</definedName>
    <definedName name="_xlnm.Print_Area" localSheetId="2">'расчет по учреждениям'!$A$1:$U$17</definedName>
  </definedNames>
  <calcPr calcId="145621"/>
</workbook>
</file>

<file path=xl/calcChain.xml><?xml version="1.0" encoding="utf-8"?>
<calcChain xmlns="http://schemas.openxmlformats.org/spreadsheetml/2006/main">
  <c r="I40" i="3" l="1"/>
  <c r="I39" i="3"/>
  <c r="I38" i="3"/>
  <c r="I37" i="3"/>
  <c r="I36" i="3"/>
  <c r="I35" i="3"/>
  <c r="I34" i="3"/>
  <c r="I33" i="3"/>
  <c r="G22" i="3"/>
  <c r="G23" i="3"/>
  <c r="G24" i="3"/>
  <c r="G25" i="3"/>
  <c r="G26" i="3"/>
  <c r="G27" i="3"/>
  <c r="G28" i="3"/>
  <c r="G21" i="3"/>
  <c r="I12" i="3"/>
  <c r="I11" i="3"/>
  <c r="I10" i="3"/>
  <c r="I9" i="3"/>
  <c r="I5" i="3"/>
  <c r="I65" i="5" l="1"/>
  <c r="I69" i="5"/>
  <c r="K69" i="5"/>
  <c r="K68" i="5"/>
  <c r="I68" i="5" s="1"/>
  <c r="K67" i="5"/>
  <c r="I67" i="5" s="1"/>
  <c r="K66" i="5"/>
  <c r="I66" i="5" s="1"/>
  <c r="K65" i="5"/>
  <c r="K64" i="5"/>
  <c r="I64" i="5" s="1"/>
  <c r="K63" i="5"/>
  <c r="I63" i="5" s="1"/>
  <c r="K62" i="5"/>
  <c r="I62" i="5" s="1"/>
  <c r="F57" i="5"/>
  <c r="G44" i="5"/>
  <c r="G45" i="5"/>
  <c r="G46" i="5"/>
  <c r="G47" i="5"/>
  <c r="G48" i="5"/>
  <c r="G49" i="5"/>
  <c r="G50" i="5"/>
  <c r="G43" i="5"/>
  <c r="G30" i="5"/>
  <c r="G31" i="5"/>
  <c r="G32" i="5"/>
  <c r="G33" i="5"/>
  <c r="G34" i="5"/>
  <c r="G35" i="5"/>
  <c r="G36" i="5"/>
  <c r="G29" i="5"/>
  <c r="I19" i="5"/>
  <c r="I18" i="5"/>
  <c r="I17" i="5"/>
  <c r="I16" i="5"/>
  <c r="I10" i="5"/>
  <c r="I11" i="5"/>
  <c r="I12" i="5"/>
  <c r="I9" i="5"/>
  <c r="I8" i="5"/>
  <c r="I7" i="5"/>
  <c r="I6" i="5"/>
  <c r="I5" i="5"/>
  <c r="C15" i="1"/>
  <c r="C23" i="1"/>
  <c r="C31" i="1"/>
  <c r="C9" i="9"/>
  <c r="C9" i="1" s="1"/>
  <c r="C10" i="9"/>
  <c r="C10" i="1" s="1"/>
  <c r="C11" i="9"/>
  <c r="J11" i="9" s="1"/>
  <c r="C12" i="9"/>
  <c r="C12" i="1" s="1"/>
  <c r="C13" i="9"/>
  <c r="C13" i="1" s="1"/>
  <c r="C14" i="9"/>
  <c r="C14" i="1" s="1"/>
  <c r="C15" i="9"/>
  <c r="C16" i="9"/>
  <c r="C16" i="1" s="1"/>
  <c r="C17" i="9"/>
  <c r="J17" i="9" s="1"/>
  <c r="C18" i="9"/>
  <c r="C18" i="1" s="1"/>
  <c r="C19" i="9"/>
  <c r="C19" i="1" s="1"/>
  <c r="C20" i="9"/>
  <c r="C20" i="1" s="1"/>
  <c r="C21" i="9"/>
  <c r="J21" i="9" s="1"/>
  <c r="C22" i="9"/>
  <c r="C22" i="1" s="1"/>
  <c r="C23" i="9"/>
  <c r="C24" i="9"/>
  <c r="C24" i="1" s="1"/>
  <c r="C25" i="9"/>
  <c r="J25" i="9" s="1"/>
  <c r="C26" i="9"/>
  <c r="J26" i="9" s="1"/>
  <c r="C27" i="9"/>
  <c r="C27" i="1" s="1"/>
  <c r="C28" i="9"/>
  <c r="C28" i="1" s="1"/>
  <c r="C29" i="9"/>
  <c r="J29" i="9" s="1"/>
  <c r="C30" i="9"/>
  <c r="C30" i="1" s="1"/>
  <c r="C31" i="9"/>
  <c r="C32" i="9"/>
  <c r="C32" i="1" s="1"/>
  <c r="C33" i="9"/>
  <c r="J33" i="9" s="1"/>
  <c r="C34" i="9"/>
  <c r="J34" i="9" s="1"/>
  <c r="C35" i="9"/>
  <c r="C35" i="1" s="1"/>
  <c r="C36" i="9"/>
  <c r="J36" i="9" s="1"/>
  <c r="C37" i="9"/>
  <c r="J37" i="9" s="1"/>
  <c r="C8" i="9"/>
  <c r="C8" i="1" s="1"/>
  <c r="J19" i="9"/>
  <c r="J23" i="9"/>
  <c r="J27" i="9"/>
  <c r="J31" i="9"/>
  <c r="J35" i="9"/>
  <c r="J8" i="9"/>
  <c r="I37" i="9"/>
  <c r="I36" i="9"/>
  <c r="I35" i="9"/>
  <c r="I34" i="9"/>
  <c r="I33" i="9"/>
  <c r="I32" i="9"/>
  <c r="I31" i="9"/>
  <c r="I30" i="9"/>
  <c r="I29" i="9"/>
  <c r="J28" i="9"/>
  <c r="I28" i="9"/>
  <c r="I27" i="9"/>
  <c r="I26" i="9"/>
  <c r="I25" i="9"/>
  <c r="J24" i="9"/>
  <c r="I24" i="9"/>
  <c r="I23" i="9"/>
  <c r="I21" i="9"/>
  <c r="J20" i="9"/>
  <c r="I20" i="9"/>
  <c r="I19" i="9"/>
  <c r="I18" i="9"/>
  <c r="I17" i="9"/>
  <c r="J15" i="9"/>
  <c r="J14" i="9"/>
  <c r="I14" i="9"/>
  <c r="I13" i="9"/>
  <c r="I12" i="9"/>
  <c r="I11" i="9"/>
  <c r="I10" i="9"/>
  <c r="I9" i="9"/>
  <c r="I8" i="9"/>
  <c r="I38" i="9" s="1"/>
  <c r="K1" i="9"/>
  <c r="K1" i="1"/>
  <c r="J12" i="9" l="1"/>
  <c r="J32" i="9"/>
  <c r="C11" i="1"/>
  <c r="C36" i="1"/>
  <c r="J16" i="9"/>
  <c r="J18" i="9"/>
  <c r="J30" i="9"/>
  <c r="J10" i="9"/>
  <c r="J13" i="9"/>
  <c r="C34" i="1"/>
  <c r="C26" i="1"/>
  <c r="J9" i="9"/>
  <c r="J38" i="9" s="1"/>
  <c r="C37" i="1"/>
  <c r="C33" i="1"/>
  <c r="J33" i="1" s="1"/>
  <c r="C29" i="1"/>
  <c r="C25" i="1"/>
  <c r="C21" i="1"/>
  <c r="C17" i="1"/>
  <c r="J8" i="1" l="1"/>
  <c r="G7" i="2"/>
  <c r="I8" i="2" l="1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J7" i="2"/>
  <c r="I7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J33" i="2"/>
  <c r="I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H33" i="2"/>
  <c r="G33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H7" i="2"/>
  <c r="AB42" i="8" l="1"/>
  <c r="AA42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4" i="8"/>
  <c r="AC35" i="8"/>
  <c r="AC36" i="8"/>
  <c r="AC37" i="8"/>
  <c r="AC38" i="8"/>
  <c r="AC39" i="8"/>
  <c r="AC40" i="8"/>
  <c r="AC41" i="8"/>
  <c r="AD8" i="8"/>
  <c r="AE8" i="8"/>
  <c r="AF8" i="8"/>
  <c r="AD9" i="8"/>
  <c r="AE9" i="8"/>
  <c r="AF9" i="8"/>
  <c r="AE10" i="8"/>
  <c r="AD11" i="8"/>
  <c r="AE11" i="8"/>
  <c r="AF11" i="8"/>
  <c r="AE12" i="8"/>
  <c r="AD13" i="8"/>
  <c r="AE13" i="8"/>
  <c r="AF13" i="8"/>
  <c r="AE14" i="8"/>
  <c r="AD15" i="8"/>
  <c r="AE15" i="8"/>
  <c r="AF15" i="8"/>
  <c r="AE16" i="8"/>
  <c r="AD17" i="8"/>
  <c r="AE17" i="8"/>
  <c r="AF17" i="8"/>
  <c r="AE18" i="8"/>
  <c r="AD19" i="8"/>
  <c r="AE19" i="8"/>
  <c r="AF19" i="8"/>
  <c r="AE20" i="8"/>
  <c r="AD21" i="8"/>
  <c r="AE21" i="8"/>
  <c r="AF21" i="8"/>
  <c r="AE22" i="8"/>
  <c r="AD23" i="8"/>
  <c r="AE23" i="8"/>
  <c r="AF23" i="8"/>
  <c r="AE24" i="8"/>
  <c r="AD25" i="8"/>
  <c r="AE25" i="8"/>
  <c r="AF25" i="8"/>
  <c r="AE26" i="8"/>
  <c r="AD27" i="8"/>
  <c r="AE27" i="8"/>
  <c r="AF27" i="8"/>
  <c r="AE28" i="8"/>
  <c r="AD29" i="8"/>
  <c r="AE29" i="8"/>
  <c r="AF29" i="8"/>
  <c r="AE30" i="8"/>
  <c r="AD31" i="8"/>
  <c r="AE31" i="8"/>
  <c r="AF31" i="8"/>
  <c r="AE34" i="8"/>
  <c r="AD36" i="8"/>
  <c r="AE36" i="8"/>
  <c r="AF36" i="8"/>
  <c r="AE37" i="8"/>
  <c r="AD38" i="8"/>
  <c r="AE38" i="8"/>
  <c r="AF38" i="8"/>
  <c r="AE39" i="8"/>
  <c r="AD40" i="8"/>
  <c r="AE40" i="8"/>
  <c r="AF40" i="8"/>
  <c r="AE41" i="8"/>
  <c r="AC42" i="8" l="1"/>
  <c r="AE35" i="8"/>
  <c r="AE42" i="8" s="1"/>
  <c r="AD37" i="8" l="1"/>
  <c r="AF37" i="8"/>
  <c r="AD20" i="8"/>
  <c r="AF20" i="8"/>
  <c r="AF34" i="8"/>
  <c r="AD34" i="8"/>
  <c r="AF26" i="8"/>
  <c r="AD26" i="8"/>
  <c r="AF18" i="8"/>
  <c r="AD18" i="8"/>
  <c r="AF10" i="8"/>
  <c r="AD10" i="8"/>
  <c r="AD24" i="8"/>
  <c r="AF24" i="8"/>
  <c r="AD41" i="8"/>
  <c r="AF41" i="8"/>
  <c r="AD16" i="8"/>
  <c r="AF16" i="8"/>
  <c r="AF39" i="8"/>
  <c r="AD39" i="8"/>
  <c r="AF30" i="8"/>
  <c r="AD30" i="8"/>
  <c r="AF22" i="8"/>
  <c r="AD22" i="8"/>
  <c r="AF14" i="8"/>
  <c r="AD14" i="8"/>
  <c r="AD28" i="8"/>
  <c r="AF28" i="8"/>
  <c r="AD12" i="8"/>
  <c r="AF12" i="8"/>
  <c r="AF35" i="8" l="1"/>
  <c r="AF42" i="8" s="1"/>
  <c r="AD35" i="8"/>
  <c r="AD42" i="8" s="1"/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I8" i="1"/>
  <c r="I9" i="1"/>
  <c r="I10" i="1"/>
  <c r="I11" i="1"/>
  <c r="I12" i="1"/>
  <c r="I13" i="1"/>
  <c r="I14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J38" i="1" l="1"/>
  <c r="I38" i="1"/>
  <c r="C69" i="6" l="1"/>
  <c r="C60" i="6"/>
  <c r="C24" i="6"/>
  <c r="C15" i="6"/>
  <c r="C33" i="6"/>
  <c r="C16" i="4"/>
  <c r="C51" i="6"/>
  <c r="C78" i="6"/>
  <c r="C42" i="6"/>
  <c r="G42" i="6" s="1"/>
  <c r="AH34" i="8" l="1"/>
  <c r="AH35" i="8"/>
  <c r="AJ35" i="8" s="1"/>
  <c r="AH36" i="8"/>
  <c r="AJ36" i="8" s="1"/>
  <c r="AH37" i="8"/>
  <c r="AJ37" i="8" s="1"/>
  <c r="AH38" i="8"/>
  <c r="AL38" i="8" s="1"/>
  <c r="AH39" i="8"/>
  <c r="AJ39" i="8" s="1"/>
  <c r="AH40" i="8"/>
  <c r="AJ40" i="8" s="1"/>
  <c r="AH41" i="8"/>
  <c r="AJ41" i="8" s="1"/>
  <c r="AH42" i="8"/>
  <c r="AG34" i="8"/>
  <c r="AI34" i="8" s="1"/>
  <c r="AG35" i="8"/>
  <c r="AI35" i="8" s="1"/>
  <c r="AG36" i="8"/>
  <c r="AI36" i="8" s="1"/>
  <c r="AG37" i="8"/>
  <c r="AI37" i="8" s="1"/>
  <c r="AG38" i="8"/>
  <c r="AI38" i="8" s="1"/>
  <c r="AG39" i="8"/>
  <c r="AI39" i="8" s="1"/>
  <c r="AG40" i="8"/>
  <c r="AI40" i="8" s="1"/>
  <c r="AG41" i="8"/>
  <c r="AI41" i="8" s="1"/>
  <c r="AG42" i="8"/>
  <c r="AH8" i="8"/>
  <c r="AJ8" i="8" s="1"/>
  <c r="AH9" i="8"/>
  <c r="AJ9" i="8" s="1"/>
  <c r="AH10" i="8"/>
  <c r="AJ10" i="8" s="1"/>
  <c r="AH11" i="8"/>
  <c r="AJ11" i="8" s="1"/>
  <c r="AH12" i="8"/>
  <c r="AJ12" i="8" s="1"/>
  <c r="AH13" i="8"/>
  <c r="AL13" i="8" s="1"/>
  <c r="AH14" i="8"/>
  <c r="AJ14" i="8" s="1"/>
  <c r="AH15" i="8"/>
  <c r="AJ15" i="8" s="1"/>
  <c r="AH16" i="8"/>
  <c r="AJ16" i="8" s="1"/>
  <c r="AH17" i="8"/>
  <c r="AJ17" i="8" s="1"/>
  <c r="AH18" i="8"/>
  <c r="AJ18" i="8" s="1"/>
  <c r="AH19" i="8"/>
  <c r="AJ19" i="8" s="1"/>
  <c r="AH20" i="8"/>
  <c r="AJ20" i="8" s="1"/>
  <c r="AH21" i="8"/>
  <c r="AJ21" i="8" s="1"/>
  <c r="AH22" i="8"/>
  <c r="AJ22" i="8" s="1"/>
  <c r="AH23" i="8"/>
  <c r="AJ23" i="8" s="1"/>
  <c r="AH24" i="8"/>
  <c r="AJ24" i="8" s="1"/>
  <c r="AH25" i="8"/>
  <c r="AJ25" i="8" s="1"/>
  <c r="AH26" i="8"/>
  <c r="AJ26" i="8" s="1"/>
  <c r="AH27" i="8"/>
  <c r="AJ27" i="8" s="1"/>
  <c r="AH28" i="8"/>
  <c r="AJ28" i="8" s="1"/>
  <c r="AH29" i="8"/>
  <c r="AL29" i="8" s="1"/>
  <c r="AH30" i="8"/>
  <c r="AJ30" i="8" s="1"/>
  <c r="AH31" i="8"/>
  <c r="AJ31" i="8" s="1"/>
  <c r="AH32" i="8"/>
  <c r="AG8" i="8"/>
  <c r="AI8" i="8" s="1"/>
  <c r="AG9" i="8"/>
  <c r="AI9" i="8" s="1"/>
  <c r="AG10" i="8"/>
  <c r="AK10" i="8" s="1"/>
  <c r="AG11" i="8"/>
  <c r="AI11" i="8" s="1"/>
  <c r="AG12" i="8"/>
  <c r="AK12" i="8" s="1"/>
  <c r="AG13" i="8"/>
  <c r="AI13" i="8" s="1"/>
  <c r="AG14" i="8"/>
  <c r="AK14" i="8" s="1"/>
  <c r="AG15" i="8"/>
  <c r="AK15" i="8" s="1"/>
  <c r="AG16" i="8"/>
  <c r="AI16" i="8" s="1"/>
  <c r="AG17" i="8"/>
  <c r="AI17" i="8" s="1"/>
  <c r="AG18" i="8"/>
  <c r="AK18" i="8" s="1"/>
  <c r="AG19" i="8"/>
  <c r="AI19" i="8" s="1"/>
  <c r="AG20" i="8"/>
  <c r="AK20" i="8" s="1"/>
  <c r="AG21" i="8"/>
  <c r="AI21" i="8" s="1"/>
  <c r="AG22" i="8"/>
  <c r="AK22" i="8" s="1"/>
  <c r="AG23" i="8"/>
  <c r="AK23" i="8" s="1"/>
  <c r="AG24" i="8"/>
  <c r="AI24" i="8" s="1"/>
  <c r="AG25" i="8"/>
  <c r="AI25" i="8" s="1"/>
  <c r="AG26" i="8"/>
  <c r="AK26" i="8" s="1"/>
  <c r="AG27" i="8"/>
  <c r="AI27" i="8" s="1"/>
  <c r="AG28" i="8"/>
  <c r="AI28" i="8" s="1"/>
  <c r="AG29" i="8"/>
  <c r="AI29" i="8" s="1"/>
  <c r="AG30" i="8"/>
  <c r="AK30" i="8" s="1"/>
  <c r="AG31" i="8"/>
  <c r="AK31" i="8" s="1"/>
  <c r="AG32" i="8"/>
  <c r="AL34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AJ13" i="8" l="1"/>
  <c r="AJ29" i="8"/>
  <c r="AK8" i="8"/>
  <c r="AI20" i="8"/>
  <c r="AK24" i="8"/>
  <c r="AL21" i="8"/>
  <c r="AI12" i="8"/>
  <c r="AK28" i="8"/>
  <c r="AK16" i="8"/>
  <c r="AK38" i="8"/>
  <c r="AI31" i="8"/>
  <c r="AK27" i="8"/>
  <c r="AI23" i="8"/>
  <c r="AK19" i="8"/>
  <c r="AI15" i="8"/>
  <c r="AK11" i="8"/>
  <c r="AI42" i="8"/>
  <c r="AI30" i="8"/>
  <c r="AI22" i="8"/>
  <c r="AI14" i="8"/>
  <c r="AI10" i="8"/>
  <c r="AI26" i="8"/>
  <c r="AI18" i="8"/>
  <c r="AK39" i="8"/>
  <c r="AK35" i="8"/>
  <c r="AK34" i="8"/>
  <c r="AK29" i="8"/>
  <c r="AK21" i="8"/>
  <c r="AK17" i="8"/>
  <c r="AK13" i="8"/>
  <c r="AK41" i="8"/>
  <c r="AK40" i="8"/>
  <c r="AJ38" i="8"/>
  <c r="AK37" i="8"/>
  <c r="AK36" i="8"/>
  <c r="AJ34" i="8"/>
  <c r="AK25" i="8"/>
  <c r="AK9" i="8"/>
  <c r="AL10" i="8"/>
  <c r="AL14" i="8"/>
  <c r="AL18" i="8"/>
  <c r="AL22" i="8"/>
  <c r="AL26" i="8"/>
  <c r="AL30" i="8"/>
  <c r="AL35" i="8"/>
  <c r="AL39" i="8"/>
  <c r="AL41" i="8"/>
  <c r="AL40" i="8"/>
  <c r="AL36" i="8"/>
  <c r="AL25" i="8"/>
  <c r="AL17" i="8"/>
  <c r="AL31" i="8"/>
  <c r="AL27" i="8"/>
  <c r="AL23" i="8"/>
  <c r="AL19" i="8"/>
  <c r="AL15" i="8"/>
  <c r="AL11" i="8"/>
  <c r="AL37" i="8"/>
  <c r="AL9" i="8"/>
  <c r="AL28" i="8"/>
  <c r="AL24" i="8"/>
  <c r="AL20" i="8"/>
  <c r="AL16" i="8"/>
  <c r="AL12" i="8"/>
  <c r="AL8" i="8"/>
  <c r="AK42" i="8" l="1"/>
  <c r="AL42" i="8"/>
  <c r="AJ42" i="8"/>
  <c r="N7" i="7" l="1"/>
  <c r="M7" i="7"/>
  <c r="L7" i="7"/>
  <c r="G15" i="6"/>
  <c r="K39" i="7" l="1"/>
  <c r="K40" i="7"/>
  <c r="L39" i="7"/>
  <c r="L40" i="7"/>
  <c r="K34" i="7"/>
  <c r="K35" i="7"/>
  <c r="K36" i="7"/>
  <c r="K37" i="7"/>
  <c r="K38" i="7"/>
  <c r="K33" i="7"/>
  <c r="L34" i="7"/>
  <c r="L35" i="7"/>
  <c r="L36" i="7"/>
  <c r="L37" i="7"/>
  <c r="L38" i="7"/>
  <c r="L33" i="7"/>
  <c r="L25" i="7"/>
  <c r="L26" i="7"/>
  <c r="L27" i="7"/>
  <c r="L28" i="7"/>
  <c r="L29" i="7"/>
  <c r="L30" i="7"/>
  <c r="L31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8" i="7"/>
  <c r="K9" i="7"/>
  <c r="K10" i="7"/>
  <c r="K11" i="7"/>
  <c r="K12" i="7"/>
  <c r="K13" i="7"/>
  <c r="K14" i="7"/>
  <c r="K15" i="7"/>
  <c r="K16" i="7"/>
  <c r="K7" i="7"/>
  <c r="M34" i="7" l="1"/>
  <c r="M35" i="7"/>
  <c r="M36" i="7"/>
  <c r="M37" i="7"/>
  <c r="M38" i="7"/>
  <c r="M39" i="7"/>
  <c r="M40" i="7"/>
  <c r="N34" i="7"/>
  <c r="N35" i="7"/>
  <c r="N36" i="7"/>
  <c r="N37" i="7"/>
  <c r="N38" i="7"/>
  <c r="N39" i="7"/>
  <c r="N40" i="7"/>
  <c r="N33" i="7"/>
  <c r="M33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F31" i="7" l="1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E27" i="2" l="1"/>
  <c r="F27" i="2"/>
  <c r="E28" i="2"/>
  <c r="F28" i="2"/>
  <c r="E29" i="2"/>
  <c r="F29" i="2"/>
  <c r="E30" i="2"/>
  <c r="F30" i="2"/>
  <c r="E31" i="2"/>
  <c r="F31" i="2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7" i="2"/>
  <c r="F8" i="2"/>
  <c r="G40" i="3" l="1"/>
  <c r="H40" i="3" s="1"/>
  <c r="J40" i="3" s="1"/>
  <c r="G39" i="3"/>
  <c r="H39" i="3" s="1"/>
  <c r="J39" i="3" s="1"/>
  <c r="G38" i="3"/>
  <c r="H38" i="3" s="1"/>
  <c r="J38" i="3" s="1"/>
  <c r="G37" i="3"/>
  <c r="H37" i="3" s="1"/>
  <c r="J37" i="3" s="1"/>
  <c r="G36" i="3"/>
  <c r="H36" i="3" s="1"/>
  <c r="J36" i="3" s="1"/>
  <c r="G35" i="3"/>
  <c r="H35" i="3" s="1"/>
  <c r="J35" i="3" s="1"/>
  <c r="G34" i="3"/>
  <c r="H34" i="3" s="1"/>
  <c r="J34" i="3" s="1"/>
  <c r="G33" i="3"/>
  <c r="H33" i="3" s="1"/>
  <c r="J33" i="3" s="1"/>
  <c r="E28" i="3"/>
  <c r="F28" i="3" s="1"/>
  <c r="H28" i="3" s="1"/>
  <c r="E27" i="3"/>
  <c r="F27" i="3" s="1"/>
  <c r="H27" i="3" s="1"/>
  <c r="E26" i="3"/>
  <c r="F26" i="3" s="1"/>
  <c r="H26" i="3" s="1"/>
  <c r="E25" i="3"/>
  <c r="F25" i="3" s="1"/>
  <c r="H25" i="3" s="1"/>
  <c r="E24" i="3"/>
  <c r="F24" i="3" s="1"/>
  <c r="H24" i="3" s="1"/>
  <c r="E23" i="3"/>
  <c r="F23" i="3" s="1"/>
  <c r="H23" i="3" s="1"/>
  <c r="E22" i="3"/>
  <c r="F22" i="3" s="1"/>
  <c r="H22" i="3" s="1"/>
  <c r="E21" i="3"/>
  <c r="F21" i="3" s="1"/>
  <c r="H21" i="3" s="1"/>
  <c r="K60" i="6"/>
  <c r="J41" i="3" l="1"/>
  <c r="H29" i="3"/>
  <c r="K78" i="6"/>
  <c r="G78" i="6"/>
  <c r="T69" i="6"/>
  <c r="K69" i="6"/>
  <c r="G69" i="6"/>
  <c r="U60" i="6"/>
  <c r="T60" i="6"/>
  <c r="G60" i="6"/>
  <c r="T51" i="6"/>
  <c r="K51" i="6"/>
  <c r="G51" i="6"/>
  <c r="U42" i="6"/>
  <c r="T42" i="6"/>
  <c r="K42" i="6"/>
  <c r="U33" i="6"/>
  <c r="T33" i="6"/>
  <c r="K33" i="6"/>
  <c r="G33" i="6"/>
  <c r="K24" i="6"/>
  <c r="G24" i="6"/>
  <c r="K15" i="6"/>
  <c r="J10" i="3"/>
  <c r="J11" i="3"/>
  <c r="J12" i="3"/>
  <c r="J9" i="3"/>
  <c r="J5" i="3"/>
  <c r="J6" i="3" s="1"/>
  <c r="M15" i="6" l="1"/>
  <c r="C45" i="3"/>
  <c r="N60" i="6"/>
  <c r="N24" i="6"/>
  <c r="N33" i="6"/>
  <c r="N51" i="6"/>
  <c r="N15" i="6"/>
  <c r="N78" i="6"/>
  <c r="N42" i="6"/>
  <c r="N69" i="6"/>
  <c r="C46" i="3"/>
  <c r="M51" i="6"/>
  <c r="M78" i="6"/>
  <c r="M42" i="6"/>
  <c r="M69" i="6"/>
  <c r="M33" i="6"/>
  <c r="M60" i="6"/>
  <c r="M24" i="6"/>
  <c r="J13" i="3"/>
  <c r="J14" i="3" s="1"/>
  <c r="K16" i="4"/>
  <c r="G16" i="4"/>
  <c r="C44" i="3" l="1"/>
  <c r="C48" i="3"/>
  <c r="L69" i="6"/>
  <c r="L33" i="6"/>
  <c r="L24" i="6"/>
  <c r="L51" i="6"/>
  <c r="L78" i="6"/>
  <c r="L60" i="6"/>
  <c r="L42" i="6"/>
  <c r="L15" i="6"/>
  <c r="G69" i="5"/>
  <c r="H69" i="5" s="1"/>
  <c r="J69" i="5" s="1"/>
  <c r="G68" i="5"/>
  <c r="H68" i="5" s="1"/>
  <c r="J68" i="5" s="1"/>
  <c r="G67" i="5"/>
  <c r="H67" i="5" s="1"/>
  <c r="J67" i="5" s="1"/>
  <c r="G66" i="5"/>
  <c r="H66" i="5" s="1"/>
  <c r="J66" i="5" s="1"/>
  <c r="G65" i="5"/>
  <c r="H65" i="5" s="1"/>
  <c r="J65" i="5" s="1"/>
  <c r="G64" i="5"/>
  <c r="H64" i="5" s="1"/>
  <c r="J64" i="5" s="1"/>
  <c r="G63" i="5"/>
  <c r="H63" i="5" s="1"/>
  <c r="J63" i="5" s="1"/>
  <c r="G62" i="5"/>
  <c r="H62" i="5" s="1"/>
  <c r="J62" i="5" s="1"/>
  <c r="G57" i="5"/>
  <c r="E50" i="5"/>
  <c r="F50" i="5" s="1"/>
  <c r="H50" i="5" s="1"/>
  <c r="E49" i="5"/>
  <c r="F49" i="5" s="1"/>
  <c r="H49" i="5" s="1"/>
  <c r="E48" i="5"/>
  <c r="F48" i="5" s="1"/>
  <c r="H48" i="5" s="1"/>
  <c r="E47" i="5"/>
  <c r="F47" i="5" s="1"/>
  <c r="H47" i="5" s="1"/>
  <c r="E46" i="5"/>
  <c r="F46" i="5" s="1"/>
  <c r="H46" i="5" s="1"/>
  <c r="E45" i="5"/>
  <c r="F45" i="5" s="1"/>
  <c r="H45" i="5" s="1"/>
  <c r="E44" i="5"/>
  <c r="F44" i="5" s="1"/>
  <c r="H44" i="5" s="1"/>
  <c r="E43" i="5"/>
  <c r="F43" i="5" s="1"/>
  <c r="H43" i="5" s="1"/>
  <c r="E36" i="5"/>
  <c r="F36" i="5" s="1"/>
  <c r="H36" i="5" s="1"/>
  <c r="E35" i="5"/>
  <c r="F35" i="5" s="1"/>
  <c r="H35" i="5" s="1"/>
  <c r="E34" i="5"/>
  <c r="F34" i="5" s="1"/>
  <c r="H34" i="5" s="1"/>
  <c r="E33" i="5"/>
  <c r="F33" i="5" s="1"/>
  <c r="H33" i="5" s="1"/>
  <c r="E32" i="5"/>
  <c r="F32" i="5" s="1"/>
  <c r="H32" i="5" s="1"/>
  <c r="E31" i="5"/>
  <c r="F31" i="5" s="1"/>
  <c r="H31" i="5" s="1"/>
  <c r="E30" i="5"/>
  <c r="F30" i="5" s="1"/>
  <c r="H30" i="5" s="1"/>
  <c r="E29" i="5"/>
  <c r="F29" i="5" s="1"/>
  <c r="H29" i="5" s="1"/>
  <c r="G19" i="5"/>
  <c r="H19" i="5" s="1"/>
  <c r="J19" i="5" s="1"/>
  <c r="G18" i="5"/>
  <c r="H18" i="5" s="1"/>
  <c r="J18" i="5" s="1"/>
  <c r="G17" i="5"/>
  <c r="H17" i="5" s="1"/>
  <c r="J17" i="5" s="1"/>
  <c r="G16" i="5"/>
  <c r="H16" i="5" s="1"/>
  <c r="J16" i="5" s="1"/>
  <c r="G12" i="5"/>
  <c r="H12" i="5" s="1"/>
  <c r="J12" i="5" s="1"/>
  <c r="G11" i="5"/>
  <c r="H11" i="5" s="1"/>
  <c r="J11" i="5" s="1"/>
  <c r="G10" i="5"/>
  <c r="H10" i="5" s="1"/>
  <c r="J10" i="5" s="1"/>
  <c r="G9" i="5"/>
  <c r="H9" i="5" s="1"/>
  <c r="J9" i="5" s="1"/>
  <c r="G6" i="5"/>
  <c r="H6" i="5" s="1"/>
  <c r="J6" i="5" s="1"/>
  <c r="G5" i="5"/>
  <c r="H5" i="5" s="1"/>
  <c r="U16" i="4"/>
  <c r="T16" i="4"/>
  <c r="C49" i="3" l="1"/>
  <c r="P78" i="6"/>
  <c r="P69" i="6"/>
  <c r="P60" i="6"/>
  <c r="P24" i="6"/>
  <c r="P51" i="6"/>
  <c r="P15" i="6"/>
  <c r="Q15" i="6" s="1"/>
  <c r="P42" i="6"/>
  <c r="P33" i="6"/>
  <c r="H57" i="5"/>
  <c r="J20" i="5"/>
  <c r="H51" i="5"/>
  <c r="H37" i="5"/>
  <c r="J70" i="5"/>
  <c r="C85" i="5"/>
  <c r="C77" i="5" l="1"/>
  <c r="O16" i="4"/>
  <c r="C75" i="5"/>
  <c r="C83" i="5"/>
  <c r="N16" i="4"/>
  <c r="Q78" i="6"/>
  <c r="C76" i="5"/>
  <c r="C84" i="5"/>
  <c r="Q60" i="6" l="1"/>
  <c r="R60" i="6" s="1"/>
  <c r="U39" i="8" s="1"/>
  <c r="Q42" i="6"/>
  <c r="R42" i="6" s="1"/>
  <c r="U37" i="8" s="1"/>
  <c r="Q33" i="6"/>
  <c r="S33" i="6" s="1"/>
  <c r="V36" i="8" s="1"/>
  <c r="Q69" i="6"/>
  <c r="S69" i="6" s="1"/>
  <c r="V40" i="8" s="1"/>
  <c r="Q51" i="6"/>
  <c r="S51" i="6" s="1"/>
  <c r="V38" i="8" s="1"/>
  <c r="Q24" i="6"/>
  <c r="R24" i="6" s="1"/>
  <c r="U35" i="8" s="1"/>
  <c r="S78" i="6"/>
  <c r="V41" i="8" s="1"/>
  <c r="Y35" i="8" l="1"/>
  <c r="K34" i="2"/>
  <c r="W35" i="8"/>
  <c r="Z36" i="8"/>
  <c r="L35" i="2"/>
  <c r="X36" i="8"/>
  <c r="Y37" i="8"/>
  <c r="K36" i="2"/>
  <c r="W37" i="8"/>
  <c r="Z38" i="8"/>
  <c r="L37" i="2"/>
  <c r="X38" i="8"/>
  <c r="Y39" i="8"/>
  <c r="K38" i="2"/>
  <c r="W39" i="8"/>
  <c r="Z41" i="8"/>
  <c r="L40" i="2"/>
  <c r="X41" i="8"/>
  <c r="Z40" i="8"/>
  <c r="L39" i="2"/>
  <c r="X40" i="8"/>
  <c r="R15" i="6"/>
  <c r="U34" i="8" s="1"/>
  <c r="T24" i="6"/>
  <c r="U51" i="6"/>
  <c r="U78" i="6"/>
  <c r="U69" i="6"/>
  <c r="R51" i="6"/>
  <c r="U38" i="8" s="1"/>
  <c r="S15" i="6"/>
  <c r="V34" i="8" s="1"/>
  <c r="S60" i="6"/>
  <c r="V39" i="8" s="1"/>
  <c r="R69" i="6"/>
  <c r="U40" i="8" s="1"/>
  <c r="R33" i="6"/>
  <c r="U36" i="8" s="1"/>
  <c r="S42" i="6"/>
  <c r="V37" i="8" s="1"/>
  <c r="R78" i="6"/>
  <c r="U41" i="8" s="1"/>
  <c r="S24" i="6"/>
  <c r="V35" i="8" s="1"/>
  <c r="X39" i="8" l="1"/>
  <c r="L38" i="2"/>
  <c r="Z39" i="8"/>
  <c r="Y41" i="8"/>
  <c r="K40" i="2"/>
  <c r="W41" i="8"/>
  <c r="Y34" i="8"/>
  <c r="K33" i="2"/>
  <c r="W34" i="8"/>
  <c r="U42" i="8"/>
  <c r="Z34" i="8"/>
  <c r="L33" i="2"/>
  <c r="X34" i="8"/>
  <c r="V42" i="8"/>
  <c r="W36" i="8"/>
  <c r="K35" i="2"/>
  <c r="Y36" i="8"/>
  <c r="Y38" i="8"/>
  <c r="K37" i="2"/>
  <c r="W38" i="8"/>
  <c r="Z37" i="8"/>
  <c r="L36" i="2"/>
  <c r="X37" i="8"/>
  <c r="X35" i="8"/>
  <c r="L34" i="2"/>
  <c r="Z35" i="8"/>
  <c r="W40" i="8"/>
  <c r="K39" i="2"/>
  <c r="Y40" i="8"/>
  <c r="T15" i="6"/>
  <c r="U15" i="6"/>
  <c r="U24" i="6"/>
  <c r="T78" i="6"/>
  <c r="X42" i="8" l="1"/>
  <c r="Z42" i="8"/>
  <c r="Y42" i="8"/>
  <c r="W42" i="8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7" i="2"/>
  <c r="J5" i="5"/>
  <c r="J13" i="5" s="1"/>
  <c r="J21" i="5" s="1"/>
  <c r="C78" i="5" s="1"/>
  <c r="C86" i="5" s="1"/>
  <c r="C74" i="5" l="1"/>
  <c r="C82" i="5"/>
  <c r="L16" i="4"/>
  <c r="C79" i="5" l="1"/>
  <c r="E74" i="5" s="1"/>
  <c r="P16" i="4"/>
  <c r="Q16" i="4" s="1"/>
  <c r="C87" i="5"/>
  <c r="E78" i="5" l="1"/>
  <c r="E84" i="5"/>
  <c r="E83" i="5"/>
  <c r="E85" i="5"/>
  <c r="E82" i="5"/>
  <c r="V10" i="8"/>
  <c r="U10" i="8"/>
  <c r="U21" i="8"/>
  <c r="V21" i="8"/>
  <c r="U12" i="8"/>
  <c r="R16" i="4"/>
  <c r="S16" i="4"/>
  <c r="U16" i="8"/>
  <c r="E86" i="5"/>
  <c r="E75" i="5"/>
  <c r="E77" i="5"/>
  <c r="E76" i="5"/>
  <c r="U17" i="8"/>
  <c r="U18" i="8"/>
  <c r="V18" i="8"/>
  <c r="U9" i="8"/>
  <c r="E79" i="5" l="1"/>
  <c r="V31" i="8"/>
  <c r="V30" i="8"/>
  <c r="U28" i="8"/>
  <c r="V14" i="8"/>
  <c r="V27" i="8"/>
  <c r="X18" i="8"/>
  <c r="L18" i="2"/>
  <c r="Z18" i="8"/>
  <c r="V23" i="8"/>
  <c r="W16" i="8"/>
  <c r="K16" i="2"/>
  <c r="Y16" i="8"/>
  <c r="X10" i="8"/>
  <c r="L10" i="2"/>
  <c r="Z10" i="8"/>
  <c r="V29" i="8"/>
  <c r="K18" i="2"/>
  <c r="W18" i="8"/>
  <c r="Y18" i="8"/>
  <c r="U23" i="8"/>
  <c r="V17" i="8"/>
  <c r="V16" i="8"/>
  <c r="V25" i="8"/>
  <c r="V20" i="8"/>
  <c r="U11" i="8"/>
  <c r="U8" i="8"/>
  <c r="U7" i="8"/>
  <c r="U26" i="8"/>
  <c r="Z21" i="8"/>
  <c r="X21" i="8"/>
  <c r="L21" i="2"/>
  <c r="U15" i="8"/>
  <c r="E87" i="5"/>
  <c r="V9" i="8"/>
  <c r="V13" i="8"/>
  <c r="V22" i="8"/>
  <c r="V12" i="8"/>
  <c r="V24" i="8"/>
  <c r="U29" i="8"/>
  <c r="Y17" i="8"/>
  <c r="W17" i="8"/>
  <c r="K17" i="2"/>
  <c r="U25" i="8"/>
  <c r="U20" i="8"/>
  <c r="V26" i="8"/>
  <c r="U24" i="8"/>
  <c r="K9" i="2"/>
  <c r="Y9" i="8"/>
  <c r="W9" i="8"/>
  <c r="U31" i="8"/>
  <c r="V19" i="8"/>
  <c r="U30" i="8"/>
  <c r="U13" i="8"/>
  <c r="V28" i="8"/>
  <c r="U22" i="8"/>
  <c r="U14" i="8"/>
  <c r="Y12" i="8"/>
  <c r="W12" i="8"/>
  <c r="K12" i="2"/>
  <c r="U27" i="8"/>
  <c r="K21" i="2"/>
  <c r="Y21" i="8"/>
  <c r="W21" i="8"/>
  <c r="V15" i="8"/>
  <c r="U19" i="8"/>
  <c r="Y10" i="8"/>
  <c r="W10" i="8"/>
  <c r="K10" i="2"/>
  <c r="V11" i="8"/>
  <c r="V8" i="8"/>
  <c r="V7" i="8"/>
  <c r="W22" i="8" l="1"/>
  <c r="Y22" i="8"/>
  <c r="K22" i="2"/>
  <c r="X8" i="8"/>
  <c r="L8" i="2"/>
  <c r="Z8" i="8"/>
  <c r="Z15" i="8"/>
  <c r="L15" i="2"/>
  <c r="X15" i="8"/>
  <c r="W13" i="8"/>
  <c r="Y13" i="8"/>
  <c r="K13" i="2"/>
  <c r="L19" i="2"/>
  <c r="X19" i="8"/>
  <c r="Z19" i="8"/>
  <c r="L22" i="2"/>
  <c r="X22" i="8"/>
  <c r="Z22" i="8"/>
  <c r="X9" i="8"/>
  <c r="Z9" i="8"/>
  <c r="L9" i="2"/>
  <c r="W26" i="8"/>
  <c r="Y26" i="8"/>
  <c r="K26" i="2"/>
  <c r="X20" i="8"/>
  <c r="Z20" i="8"/>
  <c r="L20" i="2"/>
  <c r="Z14" i="8"/>
  <c r="X14" i="8"/>
  <c r="L14" i="2"/>
  <c r="V32" i="8"/>
  <c r="L7" i="2"/>
  <c r="X7" i="8"/>
  <c r="AB7" i="8" s="1"/>
  <c r="Z7" i="8"/>
  <c r="AD7" i="8" s="1"/>
  <c r="L11" i="2"/>
  <c r="Z11" i="8"/>
  <c r="X11" i="8"/>
  <c r="W19" i="8"/>
  <c r="Y19" i="8"/>
  <c r="K19" i="2"/>
  <c r="Y27" i="8"/>
  <c r="K27" i="2"/>
  <c r="W27" i="8"/>
  <c r="Z28" i="8"/>
  <c r="L28" i="2"/>
  <c r="X28" i="8"/>
  <c r="W30" i="8"/>
  <c r="Y30" i="8"/>
  <c r="K30" i="2"/>
  <c r="Y31" i="8"/>
  <c r="K31" i="2"/>
  <c r="W31" i="8"/>
  <c r="X26" i="8"/>
  <c r="Z26" i="8"/>
  <c r="L26" i="2"/>
  <c r="W25" i="8"/>
  <c r="Y25" i="8"/>
  <c r="K25" i="2"/>
  <c r="X12" i="8"/>
  <c r="Z12" i="8"/>
  <c r="L12" i="2"/>
  <c r="K7" i="2"/>
  <c r="Y7" i="8"/>
  <c r="AC7" i="8" s="1"/>
  <c r="U32" i="8"/>
  <c r="W7" i="8"/>
  <c r="AA7" i="8" s="1"/>
  <c r="L16" i="2"/>
  <c r="X16" i="8"/>
  <c r="Z16" i="8"/>
  <c r="Y23" i="8"/>
  <c r="W23" i="8"/>
  <c r="K23" i="2"/>
  <c r="X30" i="8"/>
  <c r="L30" i="2"/>
  <c r="Z30" i="8"/>
  <c r="Y14" i="8"/>
  <c r="W14" i="8"/>
  <c r="K14" i="2"/>
  <c r="K24" i="2"/>
  <c r="W24" i="8"/>
  <c r="Y24" i="8"/>
  <c r="Y29" i="8"/>
  <c r="K29" i="2"/>
  <c r="W29" i="8"/>
  <c r="L13" i="2"/>
  <c r="X13" i="8"/>
  <c r="Z13" i="8"/>
  <c r="K15" i="2"/>
  <c r="Y15" i="8"/>
  <c r="W15" i="8"/>
  <c r="W8" i="8"/>
  <c r="Y8" i="8"/>
  <c r="K8" i="2"/>
  <c r="Z25" i="8"/>
  <c r="L25" i="2"/>
  <c r="X25" i="8"/>
  <c r="X17" i="8"/>
  <c r="Z17" i="8"/>
  <c r="L17" i="2"/>
  <c r="L29" i="2"/>
  <c r="X29" i="8"/>
  <c r="Z29" i="8"/>
  <c r="X23" i="8"/>
  <c r="Z23" i="8"/>
  <c r="L23" i="2"/>
  <c r="L27" i="2"/>
  <c r="Z27" i="8"/>
  <c r="X27" i="8"/>
  <c r="Y20" i="8"/>
  <c r="K20" i="2"/>
  <c r="W20" i="8"/>
  <c r="L24" i="2"/>
  <c r="Z24" i="8"/>
  <c r="X24" i="8"/>
  <c r="K11" i="2"/>
  <c r="W11" i="8"/>
  <c r="Y11" i="8"/>
  <c r="W28" i="8"/>
  <c r="Y28" i="8"/>
  <c r="K28" i="2"/>
  <c r="X31" i="8"/>
  <c r="Z31" i="8"/>
  <c r="L31" i="2"/>
  <c r="AA32" i="8" l="1"/>
  <c r="AE7" i="8"/>
  <c r="Y32" i="8"/>
  <c r="W32" i="8"/>
  <c r="AG7" i="8"/>
  <c r="AK7" i="8" s="1"/>
  <c r="AK32" i="8" s="1"/>
  <c r="AC32" i="8"/>
  <c r="X32" i="8"/>
  <c r="Z32" i="8"/>
  <c r="AD32" i="8"/>
  <c r="AH7" i="8"/>
  <c r="AL7" i="8" s="1"/>
  <c r="AL32" i="8" s="1"/>
  <c r="AB32" i="8"/>
  <c r="AF7" i="8"/>
  <c r="AF32" i="8" l="1"/>
  <c r="AJ7" i="8"/>
  <c r="AJ32" i="8" s="1"/>
  <c r="AE32" i="8"/>
  <c r="AI7" i="8"/>
  <c r="AI32" i="8" s="1"/>
</calcChain>
</file>

<file path=xl/sharedStrings.xml><?xml version="1.0" encoding="utf-8"?>
<sst xmlns="http://schemas.openxmlformats.org/spreadsheetml/2006/main" count="1028" uniqueCount="276">
  <si>
    <t>Наименование пищевого продукта или группы пищевых продуктов </t>
  </si>
  <si>
    <t>Молоко и кисломолочные продукты с м.д.ж. не ниже 2,5%</t>
  </si>
  <si>
    <t>390 </t>
  </si>
  <si>
    <t>450 </t>
  </si>
  <si>
    <t>Творог, творожные изделия с м.д.ж. не менее 5%</t>
  </si>
  <si>
    <t>30 </t>
  </si>
  <si>
    <t>40 </t>
  </si>
  <si>
    <t>Сметана с м.д.ж. не более 15%</t>
  </si>
  <si>
    <t>9 </t>
  </si>
  <si>
    <t>11 </t>
  </si>
  <si>
    <t>Сыр твердый </t>
  </si>
  <si>
    <t>4,3 </t>
  </si>
  <si>
    <t>4 </t>
  </si>
  <si>
    <t>6 </t>
  </si>
  <si>
    <t>55/68 </t>
  </si>
  <si>
    <t>50 </t>
  </si>
  <si>
    <t>55 </t>
  </si>
  <si>
    <t>Птица (куры 1 кат. потр./цыплята-бройлеры 1 кат. потр./индейка 1 кат. потр.)</t>
  </si>
  <si>
    <t>23/23/22 </t>
  </si>
  <si>
    <t>20 </t>
  </si>
  <si>
    <t>24 </t>
  </si>
  <si>
    <t>Рыба (филе), в т.ч. филе слабо- или малосоленое </t>
  </si>
  <si>
    <t>34 </t>
  </si>
  <si>
    <t>32 </t>
  </si>
  <si>
    <t>37 </t>
  </si>
  <si>
    <t>Колбасные изделия </t>
  </si>
  <si>
    <t>-</t>
  </si>
  <si>
    <t>7 </t>
  </si>
  <si>
    <t>6,9 </t>
  </si>
  <si>
    <t>Яйцо куриное столовое </t>
  </si>
  <si>
    <t>0,5 шт.</t>
  </si>
  <si>
    <t>160 </t>
  </si>
  <si>
    <t>120 </t>
  </si>
  <si>
    <t>140 </t>
  </si>
  <si>
    <t>256 </t>
  </si>
  <si>
    <t>205 </t>
  </si>
  <si>
    <t>260 </t>
  </si>
  <si>
    <t>Фрукты (плоды) свежие </t>
  </si>
  <si>
    <t>108 </t>
  </si>
  <si>
    <t>95 </t>
  </si>
  <si>
    <t>100 </t>
  </si>
  <si>
    <t>Фрукты (плоды) сухие </t>
  </si>
  <si>
    <t>Соки фруктовые (овощные)</t>
  </si>
  <si>
    <t>Напитки витаминизированные (готовый напиток)</t>
  </si>
  <si>
    <t>Хлеб ржаной (ржано-пшеничный)</t>
  </si>
  <si>
    <t>Хлеб пшеничный или хлеб зерновой </t>
  </si>
  <si>
    <t>60 </t>
  </si>
  <si>
    <t>80 </t>
  </si>
  <si>
    <t>Крупы (злаки), бобовые </t>
  </si>
  <si>
    <t>43 </t>
  </si>
  <si>
    <t>Макаронные изделия </t>
  </si>
  <si>
    <t>8 </t>
  </si>
  <si>
    <t>12 </t>
  </si>
  <si>
    <t>Мука пшеничная хлебопекарная </t>
  </si>
  <si>
    <t>25 </t>
  </si>
  <si>
    <t>29 </t>
  </si>
  <si>
    <t>Масло коровье сладкосливочное </t>
  </si>
  <si>
    <t>18 </t>
  </si>
  <si>
    <t>21 </t>
  </si>
  <si>
    <t>Масло растительное </t>
  </si>
  <si>
    <t>Чай, включая фиточай </t>
  </si>
  <si>
    <t>0,5 </t>
  </si>
  <si>
    <t>0,6 </t>
  </si>
  <si>
    <t>Какао-порошок </t>
  </si>
  <si>
    <t>1,0 </t>
  </si>
  <si>
    <t>1,2 </t>
  </si>
  <si>
    <t>Сахар </t>
  </si>
  <si>
    <t>47 </t>
  </si>
  <si>
    <t>Дрожжи хлебопекарные </t>
  </si>
  <si>
    <t>0,4 </t>
  </si>
  <si>
    <t>Мука картофельная (крахмал)</t>
  </si>
  <si>
    <t>2 </t>
  </si>
  <si>
    <t>3 </t>
  </si>
  <si>
    <t>Соль пищевая поваренная </t>
  </si>
  <si>
    <t>"Теремок" п. Селенгинск</t>
  </si>
  <si>
    <t xml:space="preserve">"Колесовская СОШ" группа </t>
  </si>
  <si>
    <t>"Корсаковская СОШ" группа</t>
  </si>
  <si>
    <t>"Клюевская СОШ" группа</t>
  </si>
  <si>
    <t>"Сухинская СОШ" группа</t>
  </si>
  <si>
    <t>"Еланская школа-сад" группа</t>
  </si>
  <si>
    <t>от 1 до 3 лет (ясли)</t>
  </si>
  <si>
    <t>от 3 до 7 лет (сад)</t>
  </si>
  <si>
    <t>наименование</t>
  </si>
  <si>
    <t>"Родничок" с. Выдрино (круглосуточная группа)</t>
  </si>
  <si>
    <t>руб.</t>
  </si>
  <si>
    <t>Цена за 1 ед. измерения</t>
  </si>
  <si>
    <t>ед. изм.</t>
  </si>
  <si>
    <t>л</t>
  </si>
  <si>
    <t>кг.</t>
  </si>
  <si>
    <t>Мясо (бескостное/на кости) говядина</t>
  </si>
  <si>
    <t>шт.</t>
  </si>
  <si>
    <t>Картофель</t>
  </si>
  <si>
    <t>Овощи, зелень (капуста, морковь, лук)</t>
  </si>
  <si>
    <t>л.</t>
  </si>
  <si>
    <t>Кондитерские изделия (конфеты, печенье)</t>
  </si>
  <si>
    <t>Кофейный напиток (цикорий)</t>
  </si>
  <si>
    <t>Действующий размер платы за присмотр и уход в  день (руб)</t>
  </si>
  <si>
    <r>
      <t>Расчёт затрат на оказание услуги по присмотру и уходу за детьми (С</t>
    </r>
    <r>
      <rPr>
        <vertAlign val="subscript"/>
        <sz val="14"/>
        <rFont val="Times New Roman"/>
        <family val="1"/>
        <charset val="204"/>
      </rPr>
      <t>д</t>
    </r>
    <r>
      <rPr>
        <sz val="14"/>
        <rFont val="Times New Roman"/>
        <family val="1"/>
        <charset val="204"/>
      </rPr>
      <t>), осуществляется  по формуле:</t>
    </r>
  </si>
  <si>
    <r>
      <t>С</t>
    </r>
    <r>
      <rPr>
        <vertAlign val="subscript"/>
        <sz val="14"/>
        <rFont val="Times New Roman"/>
        <family val="1"/>
        <charset val="204"/>
      </rPr>
      <t>д</t>
    </r>
    <r>
      <rPr>
        <sz val="14"/>
        <rFont val="Times New Roman"/>
        <family val="1"/>
        <charset val="204"/>
      </rPr>
      <t xml:space="preserve"> – стоимость одного детодня; </t>
    </r>
  </si>
  <si>
    <t>Спп –затраты на приобретение продуктов питания;</t>
  </si>
  <si>
    <t>Срм–затраты на осуществление  расходов, связанных с приобретением расходных материалов, используемых для обеспечения соблюдения режима дня и личной гигиены детей в соответствии с требованиями санитарной и пожарной безопасности.</t>
  </si>
  <si>
    <t>№</t>
  </si>
  <si>
    <t>МДОО</t>
  </si>
  <si>
    <t>расчет питания, Спп</t>
  </si>
  <si>
    <t>затраты на осуществление  расходов, связанных с приобретением расходных материалов, используемых для обеспечения соблюдения режима дня и личной гигиены детей в соответствии с требованиями санитарной и пожарной безопасности, Срм</t>
  </si>
  <si>
    <t>Стоимость 1 детодня</t>
  </si>
  <si>
    <t>Стоимость 1 детодня с учетом дефлятора</t>
  </si>
  <si>
    <t>стоимость питания в день в соответствии с СанПиН</t>
  </si>
  <si>
    <t>от 1 г. до 3 л.</t>
  </si>
  <si>
    <t>Стоимость питания от 1 г. до 3 л</t>
  </si>
  <si>
    <t>от 3 до 7 л.</t>
  </si>
  <si>
    <t xml:space="preserve">Стоимость питания от 3 до 7 </t>
  </si>
  <si>
    <t>расходы на мягкий инвентарь</t>
  </si>
  <si>
    <t>расходы на чистящие и моющие средства</t>
  </si>
  <si>
    <t>расходы на посуду</t>
  </si>
  <si>
    <t>расходы на стирку постельного белья</t>
  </si>
  <si>
    <t>затраты на обеспечение расходов на материальные ценности и на содержание движимого имущества, используемых для обеспечения соблюдения режима дня и личной гигиены детей</t>
  </si>
  <si>
    <t>Стоимость затрат на расходные материалы в день</t>
  </si>
  <si>
    <t>к1 (возраст воспитанников)</t>
  </si>
  <si>
    <t>к2 (режим пребывания)</t>
  </si>
  <si>
    <t>к3 (тип населенного пункта)</t>
  </si>
  <si>
    <t>от 3 до 7 л</t>
  </si>
  <si>
    <t>Расчет норматива на мягкий инвентарь</t>
  </si>
  <si>
    <t>№ п/п</t>
  </si>
  <si>
    <t>Наименование инвентаря</t>
  </si>
  <si>
    <t>Еденица измерения</t>
  </si>
  <si>
    <t>Количество предметов</t>
  </si>
  <si>
    <t>Срок носки, лет</t>
  </si>
  <si>
    <t>Итого среднегодовое количество в год</t>
  </si>
  <si>
    <t>количество в месяц</t>
  </si>
  <si>
    <t>количество в день</t>
  </si>
  <si>
    <t>Цена руб.</t>
  </si>
  <si>
    <t xml:space="preserve">стоимость на 1 ребенка в день </t>
  </si>
  <si>
    <t>На 1 место</t>
  </si>
  <si>
    <t>Полотенца детские</t>
  </si>
  <si>
    <t>Наволочки верхние</t>
  </si>
  <si>
    <t>Простыни</t>
  </si>
  <si>
    <t>Пододеяльники</t>
  </si>
  <si>
    <t>Подушка</t>
  </si>
  <si>
    <t>Матрас</t>
  </si>
  <si>
    <t>Одеяло тёплое</t>
  </si>
  <si>
    <t>Одеяло байковое</t>
  </si>
  <si>
    <t>ИТОГО</t>
  </si>
  <si>
    <t>количество в день на 1 ребенка</t>
  </si>
  <si>
    <t xml:space="preserve"> На 100 мест</t>
  </si>
  <si>
    <t xml:space="preserve">Скатерти </t>
  </si>
  <si>
    <t xml:space="preserve">Полотенца посудные </t>
  </si>
  <si>
    <t>Клеенка настольная</t>
  </si>
  <si>
    <t>м</t>
  </si>
  <si>
    <t>Материал на халаты, фартуки, косынки, нарукавники для персонала</t>
  </si>
  <si>
    <t>Расчет норматива на моющие и чистящие средства</t>
  </si>
  <si>
    <t>стирка в банно-прачечном</t>
  </si>
  <si>
    <t>Норма на 1 группу в месяц</t>
  </si>
  <si>
    <t>норма на 1 ребенка в месяц</t>
  </si>
  <si>
    <t xml:space="preserve">норма на 1 ребенка в день </t>
  </si>
  <si>
    <t>стиомость на 1 ребенка в день</t>
  </si>
  <si>
    <t>На 1 группу 20 детей</t>
  </si>
  <si>
    <t>Мыло хозяйственное</t>
  </si>
  <si>
    <t>кус.</t>
  </si>
  <si>
    <t>Мыло туалетное</t>
  </si>
  <si>
    <t>Стиральный порошок</t>
  </si>
  <si>
    <t>кг</t>
  </si>
  <si>
    <t>Сода питьевая</t>
  </si>
  <si>
    <t>Моющие средства</t>
  </si>
  <si>
    <t>пач</t>
  </si>
  <si>
    <t>Бумага туалетная</t>
  </si>
  <si>
    <t>Электрические лампы</t>
  </si>
  <si>
    <t>Ткань поковочная для мытья полов</t>
  </si>
  <si>
    <t xml:space="preserve">стирка в саду </t>
  </si>
  <si>
    <t>Расчет норматива на стирку постельного белья</t>
  </si>
  <si>
    <t>Вес 1 комплекта постельного белья (кг)</t>
  </si>
  <si>
    <t>Количество стирок в месяц</t>
  </si>
  <si>
    <t>Стоимость стирки 1 кг белья (руб)</t>
  </si>
  <si>
    <t>Стоимость в месяц на 1 ребенка</t>
  </si>
  <si>
    <t>стоимость в день на 1 ребенка</t>
  </si>
  <si>
    <t>Расчет норматива на посуду</t>
  </si>
  <si>
    <t>среднемесячное количество на 1 ребенка</t>
  </si>
  <si>
    <t xml:space="preserve">Количество в день на 1 ребенка </t>
  </si>
  <si>
    <t>Стоимость в день на 1 ребенка</t>
  </si>
  <si>
    <r>
      <t>Ложка столовая</t>
    </r>
    <r>
      <rPr>
        <sz val="12"/>
        <rFont val="Times New Roman"/>
        <family val="1"/>
        <charset val="204"/>
      </rPr>
      <t xml:space="preserve"> </t>
    </r>
  </si>
  <si>
    <t xml:space="preserve">Ложка чайная
</t>
  </si>
  <si>
    <t xml:space="preserve">Вилка </t>
  </si>
  <si>
    <t>Нож десертный</t>
  </si>
  <si>
    <t>Тарелка суповая</t>
  </si>
  <si>
    <t>Тарелка для вторых блюд</t>
  </si>
  <si>
    <t>Салатник</t>
  </si>
  <si>
    <t>Бокал</t>
  </si>
  <si>
    <t>Итого:</t>
  </si>
  <si>
    <t>Бум. туалетная (набережные челны)</t>
  </si>
  <si>
    <t>Нетканное полотно для мытья полов</t>
  </si>
  <si>
    <t>Расчет цены дня</t>
  </si>
  <si>
    <t>Размер платы с учетом применения индексов дефляторов в  день (руб)</t>
  </si>
  <si>
    <t>Стоимость родительской платы за присмотр и уход с индексом дефлятором 2016г.-106,6%, 2017г.-104,5%</t>
  </si>
  <si>
    <t>Стоимость родительской платы согласно наименованию пищевого продукта или группы пищевых продуктов  (СанПиН 2.4.1.3049-13)</t>
  </si>
  <si>
    <t xml:space="preserve">№ п/п </t>
  </si>
  <si>
    <t xml:space="preserve"> Наименование инвентаря </t>
  </si>
  <si>
    <t xml:space="preserve">Единица измерения </t>
  </si>
  <si>
    <t xml:space="preserve">Количество предметов </t>
  </si>
  <si>
    <t xml:space="preserve"> Срок носки, лет </t>
  </si>
  <si>
    <t xml:space="preserve"> Итого среднегодовое количество в год </t>
  </si>
  <si>
    <t xml:space="preserve"> количество в месяц </t>
  </si>
  <si>
    <t xml:space="preserve"> количество в день </t>
  </si>
  <si>
    <t xml:space="preserve"> Цена руб. </t>
  </si>
  <si>
    <t xml:space="preserve">Стоимость  на 1 ребенка в день  </t>
  </si>
  <si>
    <t xml:space="preserve"> На 1 место </t>
  </si>
  <si>
    <t xml:space="preserve"> Полотенца детские </t>
  </si>
  <si>
    <t xml:space="preserve"> шт. </t>
  </si>
  <si>
    <t xml:space="preserve"> № п/п </t>
  </si>
  <si>
    <t xml:space="preserve">Количество  в месяц </t>
  </si>
  <si>
    <t xml:space="preserve">Количество  в день на 1 ребенка </t>
  </si>
  <si>
    <t>На 100 мест</t>
  </si>
  <si>
    <t>Скатерти</t>
  </si>
  <si>
    <t>Полотенца посудные</t>
  </si>
  <si>
    <t> Итого расходы на мягкий инвентарь </t>
  </si>
  <si>
    <t>МДОО сельских поселений с организацией завтрака или ужина</t>
  </si>
  <si>
    <t>МДОО сельских поселений с организацией 2-го завтрака.</t>
  </si>
  <si>
    <t>МДОО сельских поселений с организацией обеда.</t>
  </si>
  <si>
    <t>МДОО сельских поселений с организацией полдника.</t>
  </si>
  <si>
    <t xml:space="preserve">МДОО городских поселений с организацией завтрака или ужина. </t>
  </si>
  <si>
    <t>МДОО городских поселений с организацией 2-го завтрака.</t>
  </si>
  <si>
    <t xml:space="preserve">МДОО городских поселений с организацией обеда. </t>
  </si>
  <si>
    <t xml:space="preserve">МДОО городских поселений с организацией полдника. </t>
  </si>
  <si>
    <t>группа</t>
  </si>
  <si>
    <t>МДОО городских поселений с 12 часовым пребыванием детей, пользующихся услугами специализированных учреждений, оказывающих услуги по стирке белья</t>
  </si>
  <si>
    <t>Расчет цены дня присмотр и уход для групп с кратковременным прибыванием детей.</t>
  </si>
  <si>
    <t>Норма продуктов на 1 ребенка. </t>
  </si>
  <si>
    <t xml:space="preserve">Кинф – коэффициент инфляции, устанавливающийся ежегодно Минэкономразвития Российской Федерации. </t>
  </si>
  <si>
    <r>
      <t>С</t>
    </r>
    <r>
      <rPr>
        <vertAlign val="subscript"/>
        <sz val="14"/>
        <rFont val="Times New Roman"/>
        <family val="1"/>
        <charset val="204"/>
      </rPr>
      <t>д</t>
    </r>
    <r>
      <rPr>
        <sz val="14"/>
        <rFont val="Times New Roman"/>
        <family val="1"/>
        <charset val="204"/>
      </rPr>
      <t>= (Спп+Срм)*Кинф ,  где:</t>
    </r>
  </si>
  <si>
    <t xml:space="preserve">Бумага туалетная </t>
  </si>
  <si>
    <t>Сд= (Спп+Срм)*Кинф ,  где:</t>
  </si>
  <si>
    <t>Для групп с кратковременным пребыванием детей</t>
  </si>
  <si>
    <t>МДОО сельских поселений с организацией 2-го завтрака</t>
  </si>
  <si>
    <t>МДОО сельских поселений с организацией обеда</t>
  </si>
  <si>
    <t>МДОО сельских поселений с организацией полдника</t>
  </si>
  <si>
    <t>МДОО городских поселений с организацией завтрака или ужина</t>
  </si>
  <si>
    <t>МДОО городских поселений с организацией 2-го завтрака</t>
  </si>
  <si>
    <t>МДОО городских поселений с организацией обеда</t>
  </si>
  <si>
    <t>МДОО городских поселений с организацией полдника</t>
  </si>
  <si>
    <t>МАДОУ д/с "Теремок" п. Селенгинск</t>
  </si>
  <si>
    <t>МАДОУ д/с "Рябинушка" п. Селенгинск</t>
  </si>
  <si>
    <t>МАДОУ д/с "Лесная сказка" п. Каменск</t>
  </si>
  <si>
    <t>МАДОУ д/с "№ 15" с. Кабанск</t>
  </si>
  <si>
    <t>МАДОУ д/с "Аленушка" п. Селенгинск</t>
  </si>
  <si>
    <t>МАДОУ д/с "Солнышко" п. Каменск</t>
  </si>
  <si>
    <t>МАДОУ д/с "Малышка" с. Выдрино</t>
  </si>
  <si>
    <t>МАДОУ д/с "Снежинка" с. Выдрино</t>
  </si>
  <si>
    <t>МАДОУ д/с "Родничок" с. Выдрино</t>
  </si>
  <si>
    <t xml:space="preserve">МАДОУ д/с "Тополек" г. Бабушкин </t>
  </si>
  <si>
    <t>МАДОУ д/с "Успех" с. Кабанск</t>
  </si>
  <si>
    <t>МАДОУ д/с "Малыш" с. Творогово</t>
  </si>
  <si>
    <t>МАДОУ д/с "Чайка" с. Посольское</t>
  </si>
  <si>
    <t>МАДОУ д/с "Колосок" с. Тресково</t>
  </si>
  <si>
    <t>МАДОУ д/с "Шергино" с. Шергино</t>
  </si>
  <si>
    <t>МАДОУ д/с "Ладушки" с. Оймур</t>
  </si>
  <si>
    <t>МАДОУ д/с "Ёлочка" ст. Посольская</t>
  </si>
  <si>
    <t>МАДОУ д/с "Колокольчик" с. Береговая</t>
  </si>
  <si>
    <t>Расчеты родительской платы групп с кратковременным пребыванием детей Кабанского района в 2019г.</t>
  </si>
  <si>
    <t xml:space="preserve">Расчет цены дня на 2019 год согласно Приложению N 10  к СанПиН 2.4.1.3049-13 </t>
  </si>
  <si>
    <t>МАДОУ д/с "Алёнка" с. Кудара</t>
  </si>
  <si>
    <t>Наименование</t>
  </si>
  <si>
    <t>действующий размер платы согласно СанПиН в  день (руб) 2019 г.</t>
  </si>
  <si>
    <t>Предлагаемый размер платы согласно СанПиН в день (руб) 2019 г. с 01.09.2021</t>
  </si>
  <si>
    <t xml:space="preserve"> Темп роста (снижение) 2021 г. к 2019 г. (%)</t>
  </si>
  <si>
    <t>прирост  2021 г. к 2019 г. (руб.) в день</t>
  </si>
  <si>
    <r>
      <t xml:space="preserve">Предлагаемый размер платы согласно СанПиН в день (руб) 2019 г. с 01.09.2021 </t>
    </r>
    <r>
      <rPr>
        <b/>
        <sz val="11"/>
        <color theme="1"/>
        <rFont val="Times New Roman"/>
        <family val="1"/>
        <charset val="204"/>
      </rPr>
      <t>(продукты)</t>
    </r>
  </si>
  <si>
    <t>Среднее значение стоимости родительской платы согласно наименованию пищевого продукта или группы пищевых продуктов   (СанПиН 2.4.1.3049-13)</t>
  </si>
  <si>
    <r>
      <t xml:space="preserve">Предлагаемый размер платы согласно СанПиН в день (руб) 2019 г. с 01.09.2021 </t>
    </r>
    <r>
      <rPr>
        <b/>
        <sz val="11"/>
        <color theme="1"/>
        <rFont val="Times New Roman"/>
        <family val="1"/>
        <charset val="204"/>
      </rPr>
      <t>(увеличение на 13,4 % с учетом индексации МРОТ с 2019)</t>
    </r>
  </si>
  <si>
    <t xml:space="preserve">Предлагаемый размер платы согласно СанПиН в день (руб) 2019 г. с 01.09.2021 </t>
  </si>
  <si>
    <t>27/27/26</t>
  </si>
  <si>
    <t>Предлагаемый размер платы согласно СанПиН в день (руб) 2019 г. с 01.09.2021 (Продукты, инвентарь)</t>
  </si>
  <si>
    <t>Предлагаемый размер платы согласно СанПиН в день (руб) 2019 г. с 01.09.2021 (продукты)</t>
  </si>
  <si>
    <t>Размер платы согласно СанПиН в  день (руб), зависимость от индексации МРОТ с 2019 до 2021 гг</t>
  </si>
  <si>
    <t>Размер платы согласно СанПиН в день (руб),  (Продукты, инвентарь)</t>
  </si>
  <si>
    <t>Размер платы согласно СанПиН в день (руб), (продукты)</t>
  </si>
  <si>
    <t>Расчеты родительской платы в МДОО Кабанского района в 2022г.</t>
  </si>
  <si>
    <r>
      <rPr>
        <u/>
        <sz val="11"/>
        <rFont val="Times New Roman"/>
        <family val="1"/>
        <charset val="204"/>
      </rPr>
      <t>Расчет затрат на материальные ценности.</t>
    </r>
    <r>
      <rPr>
        <sz val="11"/>
        <rFont val="Times New Roman"/>
        <family val="1"/>
        <charset val="204"/>
      </rPr>
      <t xml:space="preserve"> Согласно утвержденной методике расходы на материальные ценности и на содержание движимого имущества не должны превышать 40 % от затрат на мягкий инвентарь, чистящие и моющие средства, посуду и стирку постельного белья. (5,77+1,20+7,77+1,29)*40% = 6,41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</si>
</sst>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0.0000"/>
    <numFmt numFmtId="166" formatCode="_(* #,##0.00_);_(* \(#,##0.00\);_(* &quot;-&quot;??_);_(@_)"/>
    <numFmt numFmtId="167" formatCode="#,##0.0000"/>
    <numFmt numFmtId="168" formatCode="_(* #,##0.0_);_(* \(#,##0.0\);_(* &quot;-&quot;??_);_(@_)"/>
    <numFmt numFmtId="169" formatCode="_-* #,##0\ _₽_-;\-* #,##0\ _₽_-;_-* &quot;-&quot;??\ _₽_-;_-@_-"/>
    <numFmt numFmtId="170" formatCode="0.0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bscript"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rgb="FF332E2D"/>
      <name val="Times New Roman"/>
      <family val="1"/>
      <charset val="204"/>
    </font>
    <font>
      <sz val="12"/>
      <color rgb="FF332E2D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5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" applyNumberFormat="0" applyAlignment="0" applyProtection="0"/>
    <xf numFmtId="0" fontId="6" fillId="21" borderId="2" applyNumberFormat="0" applyAlignment="0" applyProtection="0"/>
    <xf numFmtId="0" fontId="7" fillId="2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" applyNumberFormat="0" applyAlignment="0" applyProtection="0"/>
    <xf numFmtId="0" fontId="6" fillId="21" borderId="2" applyNumberFormat="0" applyAlignment="0" applyProtection="0"/>
    <xf numFmtId="0" fontId="7" fillId="2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9" fillId="5" borderId="0" applyNumberFormat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" applyNumberFormat="0" applyAlignment="0" applyProtection="0"/>
    <xf numFmtId="0" fontId="6" fillId="21" borderId="2" applyNumberFormat="0" applyAlignment="0" applyProtection="0"/>
    <xf numFmtId="0" fontId="7" fillId="2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" fillId="0" borderId="0"/>
    <xf numFmtId="0" fontId="23" fillId="0" borderId="0"/>
    <xf numFmtId="0" fontId="23" fillId="0" borderId="0"/>
    <xf numFmtId="166" fontId="23" fillId="0" borderId="0" applyFont="0" applyFill="0" applyBorder="0" applyAlignment="0" applyProtection="0"/>
    <xf numFmtId="0" fontId="43" fillId="0" borderId="0"/>
    <xf numFmtId="43" fontId="1" fillId="0" borderId="0" applyFont="0" applyFill="0" applyBorder="0" applyAlignment="0" applyProtection="0"/>
    <xf numFmtId="0" fontId="43" fillId="0" borderId="0"/>
    <xf numFmtId="9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45" fillId="0" borderId="0" applyFont="0" applyFill="0" applyBorder="0" applyAlignment="0" applyProtection="0"/>
  </cellStyleXfs>
  <cellXfs count="420">
    <xf numFmtId="0" fontId="0" fillId="0" borderId="0" xfId="0"/>
    <xf numFmtId="0" fontId="20" fillId="0" borderId="0" xfId="134" applyFont="1"/>
    <xf numFmtId="0" fontId="24" fillId="0" borderId="0" xfId="134" applyFont="1" applyAlignment="1">
      <alignment horizontal="center"/>
    </xf>
    <xf numFmtId="0" fontId="20" fillId="0" borderId="14" xfId="134" applyFont="1" applyFill="1" applyBorder="1" applyAlignment="1">
      <alignment horizontal="center" vertical="center" wrapText="1"/>
    </xf>
    <xf numFmtId="0" fontId="20" fillId="0" borderId="16" xfId="134" applyFont="1" applyFill="1" applyBorder="1" applyAlignment="1">
      <alignment horizontal="center" vertical="center" wrapText="1"/>
    </xf>
    <xf numFmtId="1" fontId="20" fillId="25" borderId="19" xfId="134" applyNumberFormat="1" applyFont="1" applyFill="1" applyBorder="1" applyAlignment="1">
      <alignment horizontal="center" vertical="center"/>
    </xf>
    <xf numFmtId="1" fontId="20" fillId="25" borderId="22" xfId="134" applyNumberFormat="1" applyFont="1" applyFill="1" applyBorder="1" applyAlignment="1">
      <alignment horizontal="center" vertical="center"/>
    </xf>
    <xf numFmtId="1" fontId="20" fillId="25" borderId="33" xfId="134" applyNumberFormat="1" applyFont="1" applyFill="1" applyBorder="1" applyAlignment="1">
      <alignment horizontal="center" vertical="center"/>
    </xf>
    <xf numFmtId="1" fontId="20" fillId="0" borderId="22" xfId="134" applyNumberFormat="1" applyFont="1" applyBorder="1" applyAlignment="1">
      <alignment horizontal="center"/>
    </xf>
    <xf numFmtId="0" fontId="20" fillId="0" borderId="15" xfId="134" applyFont="1" applyBorder="1" applyAlignment="1">
      <alignment horizontal="center" vertical="center"/>
    </xf>
    <xf numFmtId="1" fontId="20" fillId="25" borderId="15" xfId="134" applyNumberFormat="1" applyFont="1" applyFill="1" applyBorder="1" applyAlignment="1">
      <alignment horizontal="center" vertical="center"/>
    </xf>
    <xf numFmtId="0" fontId="20" fillId="0" borderId="42" xfId="134" applyFont="1" applyBorder="1" applyAlignment="1">
      <alignment horizontal="center" vertical="center"/>
    </xf>
    <xf numFmtId="1" fontId="20" fillId="25" borderId="43" xfId="134" applyNumberFormat="1" applyFont="1" applyFill="1" applyBorder="1" applyAlignment="1">
      <alignment horizontal="center" vertical="center"/>
    </xf>
    <xf numFmtId="1" fontId="20" fillId="0" borderId="14" xfId="134" applyNumberFormat="1" applyFont="1" applyBorder="1" applyAlignment="1">
      <alignment horizontal="center"/>
    </xf>
    <xf numFmtId="1" fontId="20" fillId="0" borderId="16" xfId="134" applyNumberFormat="1" applyFont="1" applyBorder="1" applyAlignment="1">
      <alignment horizontal="center"/>
    </xf>
    <xf numFmtId="0" fontId="20" fillId="25" borderId="29" xfId="134" applyFont="1" applyFill="1" applyBorder="1" applyAlignment="1">
      <alignment horizontal="center" vertical="center" wrapText="1"/>
    </xf>
    <xf numFmtId="0" fontId="20" fillId="0" borderId="40" xfId="134" applyFont="1" applyFill="1" applyBorder="1" applyAlignment="1">
      <alignment horizontal="center" vertical="center" wrapText="1"/>
    </xf>
    <xf numFmtId="0" fontId="20" fillId="0" borderId="47" xfId="134" applyFont="1" applyFill="1" applyBorder="1" applyAlignment="1">
      <alignment horizontal="center" vertical="center" wrapText="1"/>
    </xf>
    <xf numFmtId="0" fontId="20" fillId="0" borderId="48" xfId="135" applyNumberFormat="1" applyFont="1" applyBorder="1" applyAlignment="1">
      <alignment horizontal="center" vertical="top"/>
    </xf>
    <xf numFmtId="4" fontId="20" fillId="0" borderId="30" xfId="135" applyNumberFormat="1" applyFont="1" applyFill="1" applyBorder="1" applyAlignment="1">
      <alignment horizontal="left" vertical="top"/>
    </xf>
    <xf numFmtId="1" fontId="20" fillId="0" borderId="44" xfId="134" applyNumberFormat="1" applyFont="1" applyBorder="1" applyAlignment="1">
      <alignment horizontal="center"/>
    </xf>
    <xf numFmtId="1" fontId="20" fillId="0" borderId="46" xfId="134" applyNumberFormat="1" applyFont="1" applyBorder="1" applyAlignment="1">
      <alignment horizontal="center"/>
    </xf>
    <xf numFmtId="0" fontId="20" fillId="0" borderId="32" xfId="135" applyNumberFormat="1" applyFont="1" applyBorder="1" applyAlignment="1">
      <alignment horizontal="center" vertical="top"/>
    </xf>
    <xf numFmtId="4" fontId="20" fillId="0" borderId="31" xfId="135" applyNumberFormat="1" applyFont="1" applyFill="1" applyBorder="1" applyAlignment="1">
      <alignment horizontal="left" vertical="top"/>
    </xf>
    <xf numFmtId="0" fontId="20" fillId="0" borderId="45" xfId="134" applyFont="1" applyBorder="1" applyAlignment="1">
      <alignment horizontal="center" vertical="center"/>
    </xf>
    <xf numFmtId="1" fontId="20" fillId="25" borderId="45" xfId="134" applyNumberFormat="1" applyFont="1" applyFill="1" applyBorder="1" applyAlignment="1">
      <alignment horizontal="center" vertical="center"/>
    </xf>
    <xf numFmtId="1" fontId="20" fillId="25" borderId="53" xfId="134" applyNumberFormat="1" applyFont="1" applyFill="1" applyBorder="1" applyAlignment="1">
      <alignment horizontal="center" vertical="center"/>
    </xf>
    <xf numFmtId="1" fontId="20" fillId="25" borderId="46" xfId="134" applyNumberFormat="1" applyFont="1" applyFill="1" applyBorder="1" applyAlignment="1">
      <alignment horizontal="center" vertical="center"/>
    </xf>
    <xf numFmtId="0" fontId="20" fillId="0" borderId="0" xfId="134" applyFont="1" applyAlignment="1">
      <alignment horizontal="center"/>
    </xf>
    <xf numFmtId="0" fontId="20" fillId="25" borderId="29" xfId="134" applyFont="1" applyFill="1" applyBorder="1" applyAlignment="1">
      <alignment vertical="center" wrapText="1"/>
    </xf>
    <xf numFmtId="0" fontId="20" fillId="25" borderId="16" xfId="134" applyFont="1" applyFill="1" applyBorder="1" applyAlignment="1">
      <alignment vertical="center" wrapText="1"/>
    </xf>
    <xf numFmtId="1" fontId="20" fillId="25" borderId="42" xfId="134" applyNumberFormat="1" applyFont="1" applyFill="1" applyBorder="1" applyAlignment="1">
      <alignment horizontal="center" vertical="center"/>
    </xf>
    <xf numFmtId="1" fontId="20" fillId="25" borderId="54" xfId="134" applyNumberFormat="1" applyFont="1" applyFill="1" applyBorder="1" applyAlignment="1">
      <alignment horizontal="center" vertical="center"/>
    </xf>
    <xf numFmtId="0" fontId="20" fillId="0" borderId="0" xfId="135" applyNumberFormat="1" applyFont="1" applyBorder="1" applyAlignment="1">
      <alignment horizontal="center" vertical="top"/>
    </xf>
    <xf numFmtId="4" fontId="20" fillId="0" borderId="0" xfId="135" applyNumberFormat="1" applyFont="1" applyFill="1" applyBorder="1" applyAlignment="1">
      <alignment horizontal="left" vertical="top"/>
    </xf>
    <xf numFmtId="1" fontId="20" fillId="0" borderId="0" xfId="135" applyNumberFormat="1" applyFont="1" applyBorder="1" applyAlignment="1">
      <alignment horizontal="center" vertical="top"/>
    </xf>
    <xf numFmtId="0" fontId="20" fillId="0" borderId="0" xfId="134" applyFont="1" applyBorder="1"/>
    <xf numFmtId="0" fontId="20" fillId="0" borderId="23" xfId="135" applyNumberFormat="1" applyFont="1" applyBorder="1" applyAlignment="1">
      <alignment horizontal="center" vertical="top"/>
    </xf>
    <xf numFmtId="0" fontId="20" fillId="0" borderId="26" xfId="135" applyNumberFormat="1" applyFont="1" applyBorder="1" applyAlignment="1">
      <alignment horizontal="center" vertical="top"/>
    </xf>
    <xf numFmtId="4" fontId="20" fillId="0" borderId="25" xfId="135" applyNumberFormat="1" applyFont="1" applyFill="1" applyBorder="1" applyAlignment="1">
      <alignment horizontal="left" vertical="top"/>
    </xf>
    <xf numFmtId="1" fontId="20" fillId="25" borderId="55" xfId="134" applyNumberFormat="1" applyFont="1" applyFill="1" applyBorder="1" applyAlignment="1">
      <alignment horizontal="center" vertical="center"/>
    </xf>
    <xf numFmtId="166" fontId="27" fillId="0" borderId="0" xfId="136" applyFont="1" applyBorder="1" applyAlignment="1">
      <alignment vertical="center" wrapText="1"/>
    </xf>
    <xf numFmtId="166" fontId="20" fillId="0" borderId="0" xfId="136" applyFont="1" applyAlignment="1">
      <alignment vertical="center" wrapText="1"/>
    </xf>
    <xf numFmtId="166" fontId="27" fillId="0" borderId="0" xfId="136" applyFont="1" applyBorder="1" applyAlignment="1">
      <alignment horizontal="center" vertical="center" wrapText="1"/>
    </xf>
    <xf numFmtId="166" fontId="30" fillId="0" borderId="17" xfId="136" applyFont="1" applyBorder="1" applyAlignment="1">
      <alignment horizontal="center" vertical="center" wrapText="1"/>
    </xf>
    <xf numFmtId="166" fontId="30" fillId="0" borderId="37" xfId="136" applyFont="1" applyBorder="1" applyAlignment="1">
      <alignment horizontal="center" vertical="center" wrapText="1"/>
    </xf>
    <xf numFmtId="166" fontId="30" fillId="0" borderId="20" xfId="136" applyFont="1" applyBorder="1" applyAlignment="1">
      <alignment horizontal="center" vertical="center" wrapText="1"/>
    </xf>
    <xf numFmtId="166" fontId="30" fillId="0" borderId="0" xfId="136" applyFont="1" applyBorder="1" applyAlignment="1">
      <alignment horizontal="center" vertical="center" wrapText="1"/>
    </xf>
    <xf numFmtId="166" fontId="20" fillId="0" borderId="0" xfId="136" applyFont="1" applyBorder="1" applyAlignment="1">
      <alignment vertical="center" wrapText="1"/>
    </xf>
    <xf numFmtId="0" fontId="20" fillId="0" borderId="12" xfId="136" applyNumberFormat="1" applyFont="1" applyBorder="1" applyAlignment="1">
      <alignment vertical="center" wrapText="1"/>
    </xf>
    <xf numFmtId="166" fontId="20" fillId="0" borderId="10" xfId="136" applyFont="1" applyBorder="1" applyAlignment="1">
      <alignment vertical="center" wrapText="1"/>
    </xf>
    <xf numFmtId="166" fontId="20" fillId="0" borderId="10" xfId="136" applyFont="1" applyBorder="1" applyAlignment="1">
      <alignment horizontal="center" vertical="center" wrapText="1"/>
    </xf>
    <xf numFmtId="0" fontId="20" fillId="0" borderId="10" xfId="136" applyNumberFormat="1" applyFont="1" applyBorder="1" applyAlignment="1">
      <alignment horizontal="center" vertical="center" wrapText="1"/>
    </xf>
    <xf numFmtId="2" fontId="20" fillId="0" borderId="10" xfId="136" applyNumberFormat="1" applyFont="1" applyBorder="1" applyAlignment="1">
      <alignment horizontal="center" vertical="center" wrapText="1"/>
    </xf>
    <xf numFmtId="165" fontId="20" fillId="0" borderId="10" xfId="136" applyNumberFormat="1" applyFont="1" applyBorder="1" applyAlignment="1">
      <alignment horizontal="center" vertical="center" wrapText="1"/>
    </xf>
    <xf numFmtId="166" fontId="20" fillId="0" borderId="13" xfId="136" applyFont="1" applyBorder="1" applyAlignment="1">
      <alignment vertical="center" wrapText="1"/>
    </xf>
    <xf numFmtId="1" fontId="20" fillId="0" borderId="0" xfId="136" applyNumberFormat="1" applyFont="1" applyBorder="1" applyAlignment="1">
      <alignment vertical="center" wrapText="1"/>
    </xf>
    <xf numFmtId="166" fontId="21" fillId="0" borderId="0" xfId="136" applyFont="1" applyBorder="1" applyAlignment="1">
      <alignment vertical="center" wrapText="1"/>
    </xf>
    <xf numFmtId="166" fontId="30" fillId="0" borderId="12" xfId="136" applyFont="1" applyBorder="1" applyAlignment="1">
      <alignment horizontal="center" vertical="center" wrapText="1"/>
    </xf>
    <xf numFmtId="166" fontId="30" fillId="0" borderId="10" xfId="136" applyFont="1" applyBorder="1" applyAlignment="1">
      <alignment horizontal="center" vertical="center" wrapText="1"/>
    </xf>
    <xf numFmtId="166" fontId="30" fillId="0" borderId="13" xfId="136" applyFont="1" applyBorder="1" applyAlignment="1">
      <alignment horizontal="center" vertical="center" wrapText="1"/>
    </xf>
    <xf numFmtId="0" fontId="31" fillId="0" borderId="0" xfId="135" applyFont="1" applyBorder="1" applyAlignment="1">
      <alignment vertical="top" wrapText="1"/>
    </xf>
    <xf numFmtId="0" fontId="32" fillId="0" borderId="19" xfId="135" applyFont="1" applyBorder="1" applyAlignment="1">
      <alignment vertical="top" wrapText="1"/>
    </xf>
    <xf numFmtId="0" fontId="32" fillId="0" borderId="10" xfId="135" applyFont="1" applyBorder="1" applyAlignment="1">
      <alignment horizontal="center" vertical="top"/>
    </xf>
    <xf numFmtId="0" fontId="32" fillId="0" borderId="10" xfId="135" applyFont="1" applyBorder="1" applyAlignment="1">
      <alignment vertical="top"/>
    </xf>
    <xf numFmtId="2" fontId="32" fillId="0" borderId="10" xfId="135" applyNumberFormat="1" applyFont="1" applyBorder="1" applyAlignment="1">
      <alignment horizontal="center" vertical="top"/>
    </xf>
    <xf numFmtId="165" fontId="32" fillId="0" borderId="10" xfId="135" applyNumberFormat="1" applyFont="1" applyBorder="1" applyAlignment="1">
      <alignment horizontal="center" vertical="top"/>
    </xf>
    <xf numFmtId="166" fontId="20" fillId="0" borderId="0" xfId="136" applyFont="1" applyBorder="1"/>
    <xf numFmtId="1" fontId="20" fillId="0" borderId="0" xfId="135" applyNumberFormat="1" applyFont="1" applyBorder="1"/>
    <xf numFmtId="0" fontId="20" fillId="0" borderId="0" xfId="135" applyFont="1"/>
    <xf numFmtId="0" fontId="32" fillId="0" borderId="10" xfId="135" applyFont="1" applyBorder="1" applyAlignment="1">
      <alignment vertical="top" wrapText="1"/>
    </xf>
    <xf numFmtId="0" fontId="32" fillId="0" borderId="10" xfId="135" applyFont="1" applyBorder="1" applyAlignment="1">
      <alignment horizontal="center" vertical="center"/>
    </xf>
    <xf numFmtId="0" fontId="32" fillId="0" borderId="10" xfId="135" applyFont="1" applyBorder="1" applyAlignment="1">
      <alignment vertical="center"/>
    </xf>
    <xf numFmtId="0" fontId="20" fillId="0" borderId="10" xfId="135" applyFont="1" applyBorder="1" applyAlignment="1">
      <alignment vertical="top"/>
    </xf>
    <xf numFmtId="166" fontId="21" fillId="0" borderId="13" xfId="136" applyFont="1" applyBorder="1" applyAlignment="1">
      <alignment vertical="top"/>
    </xf>
    <xf numFmtId="166" fontId="21" fillId="0" borderId="0" xfId="136" applyFont="1" applyBorder="1" applyAlignment="1">
      <alignment vertical="top"/>
    </xf>
    <xf numFmtId="166" fontId="30" fillId="0" borderId="14" xfId="136" applyFont="1" applyBorder="1" applyAlignment="1">
      <alignment horizontal="center" vertical="center" wrapText="1"/>
    </xf>
    <xf numFmtId="166" fontId="30" fillId="0" borderId="15" xfId="136" applyFont="1" applyBorder="1" applyAlignment="1">
      <alignment horizontal="center" vertical="center" wrapText="1"/>
    </xf>
    <xf numFmtId="1" fontId="23" fillId="0" borderId="0" xfId="135" applyNumberFormat="1" applyBorder="1"/>
    <xf numFmtId="0" fontId="23" fillId="0" borderId="0" xfId="135"/>
    <xf numFmtId="4" fontId="30" fillId="0" borderId="0" xfId="136" applyNumberFormat="1" applyFont="1" applyBorder="1" applyAlignment="1">
      <alignment horizontal="center" vertical="center" wrapText="1"/>
    </xf>
    <xf numFmtId="1" fontId="20" fillId="0" borderId="0" xfId="136" applyNumberFormat="1" applyFont="1" applyAlignment="1">
      <alignment vertical="center" wrapText="1"/>
    </xf>
    <xf numFmtId="0" fontId="33" fillId="0" borderId="37" xfId="135" applyFont="1" applyBorder="1" applyAlignment="1">
      <alignment horizontal="center" vertical="top" wrapText="1"/>
    </xf>
    <xf numFmtId="166" fontId="30" fillId="0" borderId="36" xfId="136" applyFont="1" applyBorder="1" applyAlignment="1">
      <alignment horizontal="center" vertical="center" wrapText="1"/>
    </xf>
    <xf numFmtId="166" fontId="30" fillId="0" borderId="35" xfId="136" applyFont="1" applyBorder="1" applyAlignment="1">
      <alignment horizontal="center" vertical="center" wrapText="1"/>
    </xf>
    <xf numFmtId="1" fontId="30" fillId="0" borderId="0" xfId="136" applyNumberFormat="1" applyFont="1" applyBorder="1" applyAlignment="1">
      <alignment horizontal="center" vertical="center" wrapText="1"/>
    </xf>
    <xf numFmtId="166" fontId="20" fillId="0" borderId="12" xfId="136" applyFont="1" applyBorder="1" applyAlignment="1">
      <alignment horizontal="center" vertical="center" wrapText="1"/>
    </xf>
    <xf numFmtId="166" fontId="20" fillId="0" borderId="10" xfId="136" applyFont="1" applyBorder="1" applyAlignment="1">
      <alignment horizontal="left" vertical="center" wrapText="1"/>
    </xf>
    <xf numFmtId="166" fontId="20" fillId="0" borderId="19" xfId="136" applyFont="1" applyBorder="1" applyAlignment="1">
      <alignment horizontal="center" vertical="center" wrapText="1"/>
    </xf>
    <xf numFmtId="166" fontId="20" fillId="0" borderId="13" xfId="136" applyFont="1" applyBorder="1" applyAlignment="1">
      <alignment horizontal="center" vertical="center" wrapText="1"/>
    </xf>
    <xf numFmtId="166" fontId="20" fillId="0" borderId="0" xfId="136" applyFont="1" applyBorder="1" applyAlignment="1">
      <alignment horizontal="center" vertical="center" wrapText="1"/>
    </xf>
    <xf numFmtId="167" fontId="20" fillId="0" borderId="10" xfId="136" applyNumberFormat="1" applyFont="1" applyBorder="1" applyAlignment="1">
      <alignment horizontal="center" vertical="center" wrapText="1"/>
    </xf>
    <xf numFmtId="167" fontId="20" fillId="0" borderId="0" xfId="136" applyNumberFormat="1" applyFont="1" applyBorder="1" applyAlignment="1">
      <alignment vertical="center" wrapText="1"/>
    </xf>
    <xf numFmtId="0" fontId="20" fillId="0" borderId="14" xfId="136" applyNumberFormat="1" applyFont="1" applyBorder="1" applyAlignment="1">
      <alignment vertical="center" wrapText="1"/>
    </xf>
    <xf numFmtId="166" fontId="20" fillId="0" borderId="15" xfId="136" applyFont="1" applyBorder="1" applyAlignment="1">
      <alignment vertical="center" wrapText="1"/>
    </xf>
    <xf numFmtId="0" fontId="20" fillId="0" borderId="0" xfId="136" applyNumberFormat="1" applyFont="1" applyBorder="1" applyAlignment="1">
      <alignment vertical="center" wrapText="1"/>
    </xf>
    <xf numFmtId="4" fontId="20" fillId="0" borderId="0" xfId="136" applyNumberFormat="1" applyFont="1" applyBorder="1" applyAlignment="1">
      <alignment vertical="center" wrapText="1"/>
    </xf>
    <xf numFmtId="166" fontId="34" fillId="0" borderId="0" xfId="136" applyFont="1" applyBorder="1" applyAlignment="1">
      <alignment horizontal="center" vertical="center" wrapText="1"/>
    </xf>
    <xf numFmtId="166" fontId="20" fillId="0" borderId="14" xfId="136" applyFont="1" applyBorder="1" applyAlignment="1">
      <alignment vertical="center" wrapText="1"/>
    </xf>
    <xf numFmtId="166" fontId="20" fillId="0" borderId="16" xfId="136" applyFont="1" applyBorder="1" applyAlignment="1">
      <alignment vertical="center" wrapText="1"/>
    </xf>
    <xf numFmtId="166" fontId="34" fillId="0" borderId="0" xfId="136" applyFont="1" applyBorder="1" applyAlignment="1">
      <alignment horizontal="center" vertical="top" wrapText="1"/>
    </xf>
    <xf numFmtId="166" fontId="20" fillId="0" borderId="0" xfId="136" applyFont="1" applyBorder="1" applyAlignment="1">
      <alignment horizontal="center" vertical="top" wrapText="1"/>
    </xf>
    <xf numFmtId="166" fontId="30" fillId="0" borderId="37" xfId="136" applyFont="1" applyBorder="1" applyAlignment="1">
      <alignment horizontal="center" wrapText="1"/>
    </xf>
    <xf numFmtId="167" fontId="20" fillId="0" borderId="10" xfId="136" applyNumberFormat="1" applyFont="1" applyBorder="1" applyAlignment="1">
      <alignment vertical="center" wrapText="1"/>
    </xf>
    <xf numFmtId="166" fontId="21" fillId="0" borderId="16" xfId="136" applyFont="1" applyBorder="1" applyAlignment="1">
      <alignment vertical="center" wrapText="1"/>
    </xf>
    <xf numFmtId="3" fontId="20" fillId="0" borderId="0" xfId="136" applyNumberFormat="1" applyFont="1" applyBorder="1" applyAlignment="1">
      <alignment vertical="center" wrapText="1"/>
    </xf>
    <xf numFmtId="0" fontId="20" fillId="0" borderId="17" xfId="135" applyFont="1" applyBorder="1" applyAlignment="1">
      <alignment horizontal="center" vertical="top" wrapText="1"/>
    </xf>
    <xf numFmtId="2" fontId="20" fillId="0" borderId="20" xfId="135" applyNumberFormat="1" applyFont="1" applyBorder="1" applyAlignment="1">
      <alignment horizontal="center" vertical="top" wrapText="1"/>
    </xf>
    <xf numFmtId="0" fontId="20" fillId="0" borderId="12" xfId="135" applyFont="1" applyBorder="1" applyAlignment="1">
      <alignment horizontal="center" vertical="top" wrapText="1"/>
    </xf>
    <xf numFmtId="2" fontId="20" fillId="0" borderId="13" xfId="135" applyNumberFormat="1" applyFont="1" applyBorder="1" applyAlignment="1">
      <alignment horizontal="center" vertical="top" wrapText="1"/>
    </xf>
    <xf numFmtId="0" fontId="20" fillId="0" borderId="60" xfId="135" applyFont="1" applyBorder="1" applyAlignment="1">
      <alignment wrapText="1"/>
    </xf>
    <xf numFmtId="0" fontId="20" fillId="0" borderId="14" xfId="135" applyFont="1" applyBorder="1" applyAlignment="1">
      <alignment horizontal="center" vertical="top"/>
    </xf>
    <xf numFmtId="1" fontId="20" fillId="0" borderId="16" xfId="135" applyNumberFormat="1" applyFont="1" applyBorder="1" applyAlignment="1">
      <alignment horizontal="center" vertical="top"/>
    </xf>
    <xf numFmtId="0" fontId="20" fillId="0" borderId="0" xfId="136" applyNumberFormat="1" applyFont="1" applyBorder="1" applyAlignment="1">
      <alignment horizontal="center" vertical="center" wrapText="1"/>
    </xf>
    <xf numFmtId="2" fontId="32" fillId="0" borderId="10" xfId="135" applyNumberFormat="1" applyFont="1" applyBorder="1" applyAlignment="1">
      <alignment horizontal="center" vertical="center"/>
    </xf>
    <xf numFmtId="165" fontId="32" fillId="0" borderId="10" xfId="135" applyNumberFormat="1" applyFont="1" applyBorder="1" applyAlignment="1">
      <alignment horizontal="center" vertical="center"/>
    </xf>
    <xf numFmtId="166" fontId="20" fillId="0" borderId="17" xfId="136" applyFont="1" applyBorder="1" applyAlignment="1">
      <alignment horizontal="center" vertical="center" wrapText="1"/>
    </xf>
    <xf numFmtId="166" fontId="20" fillId="0" borderId="37" xfId="136" applyFont="1" applyBorder="1" applyAlignment="1">
      <alignment horizontal="center" vertical="center" wrapText="1"/>
    </xf>
    <xf numFmtId="166" fontId="20" fillId="0" borderId="20" xfId="136" applyFont="1" applyBorder="1" applyAlignment="1">
      <alignment horizontal="center" vertical="center" wrapText="1"/>
    </xf>
    <xf numFmtId="166" fontId="20" fillId="0" borderId="10" xfId="136" applyFont="1" applyBorder="1" applyAlignment="1">
      <alignment vertical="top" wrapText="1"/>
    </xf>
    <xf numFmtId="4" fontId="34" fillId="0" borderId="16" xfId="136" applyNumberFormat="1" applyFont="1" applyBorder="1" applyAlignment="1">
      <alignment vertical="center" wrapText="1"/>
    </xf>
    <xf numFmtId="4" fontId="34" fillId="0" borderId="16" xfId="136" applyNumberFormat="1" applyFont="1" applyBorder="1" applyAlignment="1">
      <alignment horizontal="center" vertical="center" wrapText="1"/>
    </xf>
    <xf numFmtId="166" fontId="21" fillId="0" borderId="13" xfId="136" applyFont="1" applyBorder="1" applyAlignment="1">
      <alignment vertical="center" wrapText="1"/>
    </xf>
    <xf numFmtId="0" fontId="20" fillId="0" borderId="10" xfId="135" applyFont="1" applyBorder="1" applyAlignment="1">
      <alignment vertical="center"/>
    </xf>
    <xf numFmtId="0" fontId="20" fillId="25" borderId="10" xfId="134" applyFont="1" applyFill="1" applyBorder="1" applyAlignment="1">
      <alignment horizontal="center" vertical="center" wrapText="1"/>
    </xf>
    <xf numFmtId="0" fontId="20" fillId="25" borderId="13" xfId="134" applyFont="1" applyFill="1" applyBorder="1" applyAlignment="1">
      <alignment horizontal="center" vertical="center" wrapText="1"/>
    </xf>
    <xf numFmtId="0" fontId="20" fillId="25" borderId="16" xfId="134" applyFont="1" applyFill="1" applyBorder="1" applyAlignment="1">
      <alignment horizontal="center" vertical="center" wrapText="1"/>
    </xf>
    <xf numFmtId="0" fontId="20" fillId="0" borderId="19" xfId="134" applyFont="1" applyBorder="1" applyAlignment="1">
      <alignment horizontal="center" vertical="center"/>
    </xf>
    <xf numFmtId="0" fontId="24" fillId="0" borderId="0" xfId="134" applyFont="1" applyAlignment="1">
      <alignment horizontal="center"/>
    </xf>
    <xf numFmtId="166" fontId="20" fillId="0" borderId="19" xfId="136" applyFont="1" applyBorder="1" applyAlignment="1">
      <alignment horizontal="center" vertical="center" wrapText="1"/>
    </xf>
    <xf numFmtId="0" fontId="20" fillId="0" borderId="10" xfId="134" applyFont="1" applyFill="1" applyBorder="1" applyAlignment="1">
      <alignment horizontal="center" vertical="center" wrapText="1"/>
    </xf>
    <xf numFmtId="0" fontId="20" fillId="0" borderId="13" xfId="134" applyFont="1" applyFill="1" applyBorder="1" applyAlignment="1">
      <alignment horizontal="center" vertical="center" wrapText="1"/>
    </xf>
    <xf numFmtId="0" fontId="20" fillId="0" borderId="14" xfId="135" applyNumberFormat="1" applyFont="1" applyBorder="1" applyAlignment="1">
      <alignment horizontal="center" vertical="center"/>
    </xf>
    <xf numFmtId="4" fontId="20" fillId="0" borderId="15" xfId="135" applyNumberFormat="1" applyFont="1" applyFill="1" applyBorder="1" applyAlignment="1">
      <alignment horizontal="left" vertical="center"/>
    </xf>
    <xf numFmtId="1" fontId="20" fillId="0" borderId="15" xfId="134" applyNumberFormat="1" applyFont="1" applyBorder="1" applyAlignment="1">
      <alignment horizontal="center"/>
    </xf>
    <xf numFmtId="0" fontId="20" fillId="0" borderId="29" xfId="134" applyFont="1" applyFill="1" applyBorder="1" applyAlignment="1">
      <alignment horizontal="center" vertical="center" wrapText="1"/>
    </xf>
    <xf numFmtId="1" fontId="20" fillId="0" borderId="27" xfId="134" applyNumberFormat="1" applyFont="1" applyBorder="1" applyAlignment="1">
      <alignment horizontal="center"/>
    </xf>
    <xf numFmtId="1" fontId="20" fillId="0" borderId="29" xfId="134" applyNumberFormat="1" applyFont="1" applyBorder="1" applyAlignment="1">
      <alignment horizontal="center"/>
    </xf>
    <xf numFmtId="0" fontId="20" fillId="0" borderId="14" xfId="135" applyNumberFormat="1" applyFont="1" applyBorder="1" applyAlignment="1">
      <alignment horizontal="center" vertical="top"/>
    </xf>
    <xf numFmtId="4" fontId="20" fillId="0" borderId="15" xfId="135" applyNumberFormat="1" applyFont="1" applyFill="1" applyBorder="1" applyAlignment="1">
      <alignment horizontal="left" vertical="top"/>
    </xf>
    <xf numFmtId="4" fontId="36" fillId="0" borderId="0" xfId="39" applyNumberFormat="1" applyFont="1" applyFill="1" applyBorder="1" applyAlignment="1">
      <alignment horizontal="left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horizontal="center" vertical="center"/>
    </xf>
    <xf numFmtId="2" fontId="37" fillId="0" borderId="10" xfId="0" applyNumberFormat="1" applyFont="1" applyBorder="1" applyAlignment="1">
      <alignment horizontal="center" vertical="center" wrapText="1"/>
    </xf>
    <xf numFmtId="2" fontId="38" fillId="0" borderId="10" xfId="0" applyNumberFormat="1" applyFont="1" applyBorder="1" applyAlignment="1">
      <alignment horizontal="center" vertical="center" wrapText="1"/>
    </xf>
    <xf numFmtId="2" fontId="37" fillId="0" borderId="10" xfId="0" applyNumberFormat="1" applyFont="1" applyBorder="1" applyAlignment="1">
      <alignment horizontal="center" vertical="center"/>
    </xf>
    <xf numFmtId="2" fontId="38" fillId="0" borderId="10" xfId="0" applyNumberFormat="1" applyFont="1" applyBorder="1" applyAlignment="1">
      <alignment horizontal="center" vertical="center"/>
    </xf>
    <xf numFmtId="0" fontId="33" fillId="0" borderId="37" xfId="135" applyFont="1" applyBorder="1" applyAlignment="1">
      <alignment horizontal="center" vertical="center" wrapText="1"/>
    </xf>
    <xf numFmtId="0" fontId="22" fillId="0" borderId="0" xfId="0" applyFont="1"/>
    <xf numFmtId="49" fontId="36" fillId="0" borderId="0" xfId="136" applyNumberFormat="1" applyFont="1" applyBorder="1" applyAlignment="1">
      <alignment vertical="center" wrapText="1"/>
    </xf>
    <xf numFmtId="166" fontId="34" fillId="0" borderId="0" xfId="136" applyFont="1" applyBorder="1" applyAlignment="1">
      <alignment vertical="center" wrapText="1"/>
    </xf>
    <xf numFmtId="9" fontId="20" fillId="0" borderId="24" xfId="136" applyNumberFormat="1" applyFont="1" applyBorder="1" applyAlignment="1">
      <alignment horizontal="center" vertical="center" wrapText="1"/>
    </xf>
    <xf numFmtId="9" fontId="20" fillId="0" borderId="38" xfId="136" applyNumberFormat="1" applyFont="1" applyBorder="1" applyAlignment="1">
      <alignment horizontal="center" vertical="center" wrapText="1"/>
    </xf>
    <xf numFmtId="9" fontId="20" fillId="0" borderId="25" xfId="136" applyNumberFormat="1" applyFont="1" applyBorder="1" applyAlignment="1">
      <alignment horizontal="center" vertical="center" wrapText="1"/>
    </xf>
    <xf numFmtId="1" fontId="20" fillId="0" borderId="24" xfId="135" applyNumberFormat="1" applyFont="1" applyBorder="1" applyAlignment="1">
      <alignment horizontal="center" vertical="center"/>
    </xf>
    <xf numFmtId="2" fontId="0" fillId="0" borderId="0" xfId="0" applyNumberFormat="1"/>
    <xf numFmtId="2" fontId="36" fillId="0" borderId="10" xfId="0" applyNumberFormat="1" applyFont="1" applyFill="1" applyBorder="1" applyAlignment="1">
      <alignment horizontal="left"/>
    </xf>
    <xf numFmtId="4" fontId="36" fillId="0" borderId="10" xfId="39" applyNumberFormat="1" applyFont="1" applyFill="1" applyBorder="1" applyAlignment="1">
      <alignment horizontal="left" wrapText="1"/>
    </xf>
    <xf numFmtId="4" fontId="36" fillId="0" borderId="10" xfId="39" applyNumberFormat="1" applyFont="1" applyFill="1" applyBorder="1" applyAlignment="1">
      <alignment horizontal="left"/>
    </xf>
    <xf numFmtId="0" fontId="41" fillId="0" borderId="10" xfId="0" applyFont="1" applyBorder="1" applyAlignment="1">
      <alignment horizontal="center"/>
    </xf>
    <xf numFmtId="2" fontId="41" fillId="0" borderId="10" xfId="0" applyNumberFormat="1" applyFont="1" applyFill="1" applyBorder="1" applyAlignment="1">
      <alignment horizontal="left"/>
    </xf>
    <xf numFmtId="0" fontId="41" fillId="0" borderId="10" xfId="0" applyFont="1" applyBorder="1" applyAlignment="1">
      <alignment horizontal="center" vertical="center"/>
    </xf>
    <xf numFmtId="0" fontId="41" fillId="0" borderId="10" xfId="0" applyFont="1" applyFill="1" applyBorder="1" applyAlignment="1">
      <alignment horizontal="center"/>
    </xf>
    <xf numFmtId="0" fontId="41" fillId="0" borderId="10" xfId="0" applyFont="1" applyBorder="1" applyAlignment="1">
      <alignment wrapText="1"/>
    </xf>
    <xf numFmtId="0" fontId="41" fillId="0" borderId="10" xfId="0" applyFont="1" applyBorder="1"/>
    <xf numFmtId="0" fontId="41" fillId="0" borderId="10" xfId="0" applyFont="1" applyFill="1" applyBorder="1" applyAlignment="1">
      <alignment wrapText="1"/>
    </xf>
    <xf numFmtId="0" fontId="41" fillId="0" borderId="10" xfId="0" applyFont="1" applyFill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2" fontId="0" fillId="0" borderId="10" xfId="0" applyNumberForma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2" fontId="20" fillId="0" borderId="15" xfId="134" applyNumberFormat="1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168" fontId="20" fillId="27" borderId="10" xfId="136" applyNumberFormat="1" applyFont="1" applyFill="1" applyBorder="1" applyAlignment="1">
      <alignment vertical="center" wrapText="1"/>
    </xf>
    <xf numFmtId="4" fontId="20" fillId="0" borderId="15" xfId="134" applyNumberFormat="1" applyFont="1" applyBorder="1" applyAlignment="1">
      <alignment horizontal="center" vertical="center"/>
    </xf>
    <xf numFmtId="0" fontId="41" fillId="28" borderId="10" xfId="0" applyFont="1" applyFill="1" applyBorder="1" applyAlignment="1">
      <alignment horizontal="center" vertical="center"/>
    </xf>
    <xf numFmtId="1" fontId="41" fillId="28" borderId="10" xfId="0" applyNumberFormat="1" applyFont="1" applyFill="1" applyBorder="1" applyAlignment="1">
      <alignment horizontal="center" vertical="center"/>
    </xf>
    <xf numFmtId="2" fontId="20" fillId="0" borderId="19" xfId="134" applyNumberFormat="1" applyFont="1" applyBorder="1" applyAlignment="1">
      <alignment horizontal="center" vertical="center"/>
    </xf>
    <xf numFmtId="1" fontId="41" fillId="0" borderId="10" xfId="0" applyNumberFormat="1" applyFont="1" applyFill="1" applyBorder="1" applyAlignment="1">
      <alignment horizontal="center" vertical="center"/>
    </xf>
    <xf numFmtId="1" fontId="41" fillId="28" borderId="61" xfId="0" applyNumberFormat="1" applyFont="1" applyFill="1" applyBorder="1" applyAlignment="1">
      <alignment horizontal="center" vertical="center"/>
    </xf>
    <xf numFmtId="2" fontId="0" fillId="0" borderId="61" xfId="0" applyNumberFormat="1" applyBorder="1" applyAlignment="1">
      <alignment horizontal="center" vertical="center"/>
    </xf>
    <xf numFmtId="1" fontId="0" fillId="0" borderId="61" xfId="0" applyNumberFormat="1" applyBorder="1" applyAlignment="1">
      <alignment horizontal="center" vertical="center"/>
    </xf>
    <xf numFmtId="0" fontId="42" fillId="0" borderId="11" xfId="0" applyFont="1" applyBorder="1" applyAlignment="1"/>
    <xf numFmtId="0" fontId="42" fillId="0" borderId="39" xfId="0" applyFont="1" applyBorder="1" applyAlignment="1"/>
    <xf numFmtId="1" fontId="41" fillId="0" borderId="61" xfId="0" applyNumberFormat="1" applyFont="1" applyFill="1" applyBorder="1" applyAlignment="1">
      <alignment horizontal="center" vertical="center"/>
    </xf>
    <xf numFmtId="0" fontId="41" fillId="0" borderId="61" xfId="0" applyFont="1" applyBorder="1" applyAlignment="1">
      <alignment horizontal="center"/>
    </xf>
    <xf numFmtId="4" fontId="36" fillId="0" borderId="61" xfId="39" applyNumberFormat="1" applyFont="1" applyFill="1" applyBorder="1" applyAlignment="1">
      <alignment horizontal="left"/>
    </xf>
    <xf numFmtId="0" fontId="41" fillId="0" borderId="61" xfId="0" applyFont="1" applyBorder="1" applyAlignment="1">
      <alignment horizontal="center" vertical="center"/>
    </xf>
    <xf numFmtId="169" fontId="0" fillId="0" borderId="10" xfId="138" applyNumberFormat="1" applyFont="1" applyBorder="1" applyAlignment="1">
      <alignment horizontal="center" vertical="center"/>
    </xf>
    <xf numFmtId="169" fontId="0" fillId="0" borderId="61" xfId="138" applyNumberFormat="1" applyFont="1" applyBorder="1" applyAlignment="1">
      <alignment horizontal="center" vertical="center"/>
    </xf>
    <xf numFmtId="166" fontId="20" fillId="26" borderId="61" xfId="136" applyFont="1" applyFill="1" applyBorder="1" applyAlignment="1">
      <alignment vertical="center" wrapText="1"/>
    </xf>
    <xf numFmtId="166" fontId="20" fillId="26" borderId="11" xfId="136" applyFont="1" applyFill="1" applyBorder="1" applyAlignment="1">
      <alignment vertical="center" wrapText="1"/>
    </xf>
    <xf numFmtId="4" fontId="0" fillId="0" borderId="0" xfId="0" applyNumberFormat="1"/>
    <xf numFmtId="0" fontId="41" fillId="0" borderId="61" xfId="0" applyFont="1" applyFill="1" applyBorder="1" applyAlignment="1">
      <alignment horizontal="center"/>
    </xf>
    <xf numFmtId="0" fontId="41" fillId="0" borderId="61" xfId="0" applyFont="1" applyBorder="1"/>
    <xf numFmtId="1" fontId="41" fillId="0" borderId="61" xfId="0" applyNumberFormat="1" applyFont="1" applyBorder="1" applyAlignment="1">
      <alignment horizontal="center"/>
    </xf>
    <xf numFmtId="1" fontId="41" fillId="0" borderId="61" xfId="0" applyNumberFormat="1" applyFont="1" applyBorder="1" applyAlignment="1">
      <alignment horizontal="center" vertical="center"/>
    </xf>
    <xf numFmtId="1" fontId="41" fillId="0" borderId="61" xfId="0" applyNumberFormat="1" applyFont="1" applyFill="1" applyBorder="1" applyAlignment="1">
      <alignment horizontal="center"/>
    </xf>
    <xf numFmtId="1" fontId="41" fillId="0" borderId="61" xfId="0" applyNumberFormat="1" applyFont="1" applyBorder="1"/>
    <xf numFmtId="1" fontId="41" fillId="28" borderId="61" xfId="0" applyNumberFormat="1" applyFont="1" applyFill="1" applyBorder="1" applyAlignment="1">
      <alignment horizontal="center"/>
    </xf>
    <xf numFmtId="1" fontId="41" fillId="28" borderId="61" xfId="0" applyNumberFormat="1" applyFont="1" applyFill="1" applyBorder="1"/>
    <xf numFmtId="170" fontId="0" fillId="0" borderId="10" xfId="0" applyNumberFormat="1" applyBorder="1" applyAlignment="1">
      <alignment horizontal="center" vertical="center"/>
    </xf>
    <xf numFmtId="170" fontId="0" fillId="0" borderId="61" xfId="0" applyNumberFormat="1" applyBorder="1" applyAlignment="1">
      <alignment horizontal="center" vertical="center"/>
    </xf>
    <xf numFmtId="0" fontId="42" fillId="0" borderId="0" xfId="0" applyFont="1" applyBorder="1" applyAlignment="1"/>
    <xf numFmtId="2" fontId="0" fillId="0" borderId="0" xfId="0" applyNumberFormat="1" applyBorder="1" applyAlignment="1">
      <alignment horizontal="center" vertical="center"/>
    </xf>
    <xf numFmtId="170" fontId="0" fillId="0" borderId="0" xfId="0" applyNumberFormat="1" applyBorder="1" applyAlignment="1">
      <alignment horizontal="center" vertical="center"/>
    </xf>
    <xf numFmtId="169" fontId="0" fillId="0" borderId="0" xfId="138" applyNumberFormat="1" applyFont="1" applyBorder="1" applyAlignment="1">
      <alignment horizontal="center" vertical="center"/>
    </xf>
    <xf numFmtId="1" fontId="41" fillId="0" borderId="0" xfId="0" applyNumberFormat="1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11" xfId="0" applyFont="1" applyBorder="1" applyAlignment="1">
      <alignment horizontal="center" vertical="center"/>
    </xf>
    <xf numFmtId="0" fontId="41" fillId="0" borderId="11" xfId="0" applyFont="1" applyFill="1" applyBorder="1" applyAlignment="1">
      <alignment horizontal="center"/>
    </xf>
    <xf numFmtId="1" fontId="41" fillId="0" borderId="12" xfId="0" applyNumberFormat="1" applyFont="1" applyBorder="1" applyAlignment="1">
      <alignment horizontal="center"/>
    </xf>
    <xf numFmtId="1" fontId="41" fillId="0" borderId="13" xfId="0" applyNumberFormat="1" applyFont="1" applyBorder="1" applyAlignment="1">
      <alignment horizontal="center"/>
    </xf>
    <xf numFmtId="1" fontId="41" fillId="0" borderId="14" xfId="0" applyNumberFormat="1" applyFont="1" applyBorder="1" applyAlignment="1">
      <alignment horizontal="center"/>
    </xf>
    <xf numFmtId="1" fontId="41" fillId="0" borderId="16" xfId="0" applyNumberFormat="1" applyFont="1" applyBorder="1" applyAlignment="1">
      <alignment horizontal="center"/>
    </xf>
    <xf numFmtId="0" fontId="41" fillId="0" borderId="28" xfId="0" applyFont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1" fillId="0" borderId="28" xfId="0" applyFont="1" applyFill="1" applyBorder="1" applyAlignment="1">
      <alignment horizontal="center"/>
    </xf>
    <xf numFmtId="0" fontId="41" fillId="0" borderId="12" xfId="0" applyFont="1" applyBorder="1" applyAlignment="1">
      <alignment horizontal="center"/>
    </xf>
    <xf numFmtId="2" fontId="36" fillId="0" borderId="13" xfId="0" applyNumberFormat="1" applyFont="1" applyFill="1" applyBorder="1" applyAlignment="1">
      <alignment horizontal="left"/>
    </xf>
    <xf numFmtId="2" fontId="41" fillId="0" borderId="13" xfId="0" applyNumberFormat="1" applyFont="1" applyFill="1" applyBorder="1" applyAlignment="1">
      <alignment horizontal="left"/>
    </xf>
    <xf numFmtId="4" fontId="36" fillId="0" borderId="13" xfId="39" applyNumberFormat="1" applyFont="1" applyFill="1" applyBorder="1" applyAlignment="1">
      <alignment horizontal="left" wrapText="1"/>
    </xf>
    <xf numFmtId="4" fontId="36" fillId="0" borderId="13" xfId="39" applyNumberFormat="1" applyFont="1" applyFill="1" applyBorder="1" applyAlignment="1">
      <alignment horizontal="left"/>
    </xf>
    <xf numFmtId="0" fontId="41" fillId="0" borderId="14" xfId="0" applyFont="1" applyBorder="1" applyAlignment="1">
      <alignment horizontal="center"/>
    </xf>
    <xf numFmtId="4" fontId="36" fillId="0" borderId="16" xfId="39" applyNumberFormat="1" applyFont="1" applyFill="1" applyBorder="1" applyAlignment="1">
      <alignment horizontal="left"/>
    </xf>
    <xf numFmtId="0" fontId="41" fillId="0" borderId="11" xfId="0" applyFont="1" applyBorder="1"/>
    <xf numFmtId="0" fontId="41" fillId="0" borderId="28" xfId="0" applyFont="1" applyBorder="1"/>
    <xf numFmtId="0" fontId="42" fillId="0" borderId="63" xfId="0" applyFont="1" applyBorder="1" applyAlignment="1"/>
    <xf numFmtId="0" fontId="41" fillId="0" borderId="17" xfId="0" applyFont="1" applyBorder="1" applyAlignment="1">
      <alignment horizontal="center" vertical="center"/>
    </xf>
    <xf numFmtId="0" fontId="41" fillId="0" borderId="20" xfId="0" applyFont="1" applyBorder="1" applyAlignment="1">
      <alignment wrapText="1"/>
    </xf>
    <xf numFmtId="0" fontId="41" fillId="0" borderId="12" xfId="0" applyFont="1" applyBorder="1" applyAlignment="1">
      <alignment horizontal="center" vertical="center"/>
    </xf>
    <xf numFmtId="0" fontId="41" fillId="0" borderId="13" xfId="0" applyFont="1" applyBorder="1" applyAlignment="1">
      <alignment wrapText="1"/>
    </xf>
    <xf numFmtId="0" fontId="41" fillId="0" borderId="13" xfId="0" applyFont="1" applyFill="1" applyBorder="1" applyAlignment="1">
      <alignment wrapText="1"/>
    </xf>
    <xf numFmtId="0" fontId="41" fillId="0" borderId="14" xfId="0" applyFont="1" applyBorder="1" applyAlignment="1">
      <alignment horizontal="center" vertical="center"/>
    </xf>
    <xf numFmtId="0" fontId="41" fillId="0" borderId="16" xfId="0" applyFont="1" applyFill="1" applyBorder="1" applyAlignment="1">
      <alignment wrapText="1"/>
    </xf>
    <xf numFmtId="1" fontId="41" fillId="0" borderId="17" xfId="0" applyNumberFormat="1" applyFont="1" applyBorder="1" applyAlignment="1">
      <alignment horizontal="center"/>
    </xf>
    <xf numFmtId="1" fontId="41" fillId="0" borderId="20" xfId="0" applyNumberFormat="1" applyFont="1" applyBorder="1" applyAlignment="1">
      <alignment horizontal="center"/>
    </xf>
    <xf numFmtId="0" fontId="20" fillId="25" borderId="16" xfId="134" applyFont="1" applyFill="1" applyBorder="1" applyAlignment="1">
      <alignment horizontal="center" vertical="center" wrapText="1"/>
    </xf>
    <xf numFmtId="0" fontId="41" fillId="0" borderId="0" xfId="0" applyFont="1"/>
    <xf numFmtId="0" fontId="41" fillId="0" borderId="0" xfId="0" applyFont="1" applyAlignment="1">
      <alignment wrapText="1"/>
    </xf>
    <xf numFmtId="10" fontId="41" fillId="0" borderId="0" xfId="0" applyNumberFormat="1" applyFont="1"/>
    <xf numFmtId="0" fontId="37" fillId="0" borderId="0" xfId="0" applyFont="1"/>
    <xf numFmtId="10" fontId="37" fillId="0" borderId="0" xfId="0" applyNumberFormat="1" applyFont="1"/>
    <xf numFmtId="0" fontId="37" fillId="2" borderId="0" xfId="0" applyFont="1" applyFill="1"/>
    <xf numFmtId="0" fontId="38" fillId="26" borderId="61" xfId="0" applyFont="1" applyFill="1" applyBorder="1" applyAlignment="1">
      <alignment vertical="center" wrapText="1"/>
    </xf>
    <xf numFmtId="0" fontId="47" fillId="26" borderId="61" xfId="0" applyFont="1" applyFill="1" applyBorder="1" applyAlignment="1">
      <alignment vertical="center" wrapText="1"/>
    </xf>
    <xf numFmtId="0" fontId="47" fillId="2" borderId="61" xfId="0" applyFont="1" applyFill="1" applyBorder="1" applyAlignment="1">
      <alignment horizontal="center" vertical="center" wrapText="1"/>
    </xf>
    <xf numFmtId="4" fontId="37" fillId="0" borderId="61" xfId="0" applyNumberFormat="1" applyFont="1" applyBorder="1" applyAlignment="1">
      <alignment horizontal="center" vertical="center"/>
    </xf>
    <xf numFmtId="4" fontId="47" fillId="2" borderId="61" xfId="0" applyNumberFormat="1" applyFont="1" applyFill="1" applyBorder="1" applyAlignment="1">
      <alignment horizontal="center" vertical="center" wrapText="1"/>
    </xf>
    <xf numFmtId="4" fontId="47" fillId="2" borderId="19" xfId="0" applyNumberFormat="1" applyFont="1" applyFill="1" applyBorder="1" applyAlignment="1">
      <alignment horizontal="center" vertical="center" wrapText="1"/>
    </xf>
    <xf numFmtId="0" fontId="37" fillId="0" borderId="0" xfId="0" applyFont="1" applyFill="1"/>
    <xf numFmtId="4" fontId="47" fillId="2" borderId="0" xfId="0" applyNumberFormat="1" applyFont="1" applyFill="1" applyBorder="1" applyAlignment="1">
      <alignment horizontal="center" vertical="center" wrapText="1"/>
    </xf>
    <xf numFmtId="0" fontId="47" fillId="2" borderId="61" xfId="0" applyFont="1" applyFill="1" applyBorder="1" applyAlignment="1">
      <alignment vertical="center" wrapText="1"/>
    </xf>
    <xf numFmtId="4" fontId="47" fillId="2" borderId="15" xfId="0" applyNumberFormat="1" applyFont="1" applyFill="1" applyBorder="1" applyAlignment="1">
      <alignment horizontal="center" vertical="center" wrapText="1"/>
    </xf>
    <xf numFmtId="4" fontId="38" fillId="0" borderId="0" xfId="0" applyNumberFormat="1" applyFont="1" applyAlignment="1">
      <alignment horizontal="center" vertical="center"/>
    </xf>
    <xf numFmtId="0" fontId="46" fillId="2" borderId="64" xfId="0" applyFont="1" applyFill="1" applyBorder="1" applyAlignment="1">
      <alignment vertical="center"/>
    </xf>
    <xf numFmtId="0" fontId="46" fillId="2" borderId="65" xfId="0" applyFont="1" applyFill="1" applyBorder="1" applyAlignment="1">
      <alignment vertical="center"/>
    </xf>
    <xf numFmtId="0" fontId="46" fillId="2" borderId="0" xfId="0" applyFont="1" applyFill="1" applyBorder="1" applyAlignment="1">
      <alignment vertical="center"/>
    </xf>
    <xf numFmtId="0" fontId="46" fillId="2" borderId="50" xfId="0" applyFont="1" applyFill="1" applyBorder="1" applyAlignment="1">
      <alignment vertical="center"/>
    </xf>
    <xf numFmtId="0" fontId="46" fillId="2" borderId="66" xfId="0" applyFont="1" applyFill="1" applyBorder="1" applyAlignment="1">
      <alignment vertical="center"/>
    </xf>
    <xf numFmtId="0" fontId="46" fillId="2" borderId="27" xfId="0" applyFont="1" applyFill="1" applyBorder="1" applyAlignment="1">
      <alignment vertical="center"/>
    </xf>
    <xf numFmtId="0" fontId="46" fillId="2" borderId="67" xfId="0" applyFont="1" applyFill="1" applyBorder="1" applyAlignment="1">
      <alignment horizontal="center" vertical="center" wrapText="1"/>
    </xf>
    <xf numFmtId="0" fontId="46" fillId="2" borderId="67" xfId="0" applyFont="1" applyFill="1" applyBorder="1" applyAlignment="1">
      <alignment horizontal="center" vertical="center"/>
    </xf>
    <xf numFmtId="2" fontId="27" fillId="0" borderId="0" xfId="136" applyNumberFormat="1" applyFont="1" applyBorder="1" applyAlignment="1">
      <alignment horizontal="center" vertical="center" wrapText="1"/>
    </xf>
    <xf numFmtId="10" fontId="27" fillId="0" borderId="0" xfId="136" applyNumberFormat="1" applyFont="1" applyBorder="1" applyAlignment="1">
      <alignment horizontal="center" vertical="center" wrapText="1"/>
    </xf>
    <xf numFmtId="166" fontId="20" fillId="29" borderId="61" xfId="136" applyFont="1" applyFill="1" applyBorder="1" applyAlignment="1">
      <alignment vertical="center" wrapText="1"/>
    </xf>
    <xf numFmtId="166" fontId="32" fillId="29" borderId="61" xfId="136" applyFont="1" applyFill="1" applyBorder="1" applyAlignment="1">
      <alignment vertical="top"/>
    </xf>
    <xf numFmtId="166" fontId="20" fillId="29" borderId="15" xfId="136" applyFont="1" applyFill="1" applyBorder="1" applyAlignment="1">
      <alignment vertical="center" wrapText="1"/>
    </xf>
    <xf numFmtId="166" fontId="20" fillId="29" borderId="11" xfId="136" applyFont="1" applyFill="1" applyBorder="1" applyAlignment="1">
      <alignment vertical="center" wrapText="1"/>
    </xf>
    <xf numFmtId="2" fontId="20" fillId="29" borderId="13" xfId="135" applyNumberFormat="1" applyFont="1" applyFill="1" applyBorder="1" applyAlignment="1">
      <alignment horizontal="center" vertical="top" wrapText="1"/>
    </xf>
    <xf numFmtId="166" fontId="0" fillId="0" borderId="0" xfId="0" applyNumberFormat="1"/>
    <xf numFmtId="10" fontId="0" fillId="0" borderId="0" xfId="0" applyNumberFormat="1"/>
    <xf numFmtId="0" fontId="20" fillId="0" borderId="65" xfId="134" applyFont="1" applyFill="1" applyBorder="1" applyAlignment="1">
      <alignment horizontal="center" vertical="center" wrapText="1"/>
    </xf>
    <xf numFmtId="166" fontId="20" fillId="29" borderId="10" xfId="136" applyFont="1" applyFill="1" applyBorder="1" applyAlignment="1">
      <alignment vertical="center" wrapText="1"/>
    </xf>
    <xf numFmtId="2" fontId="44" fillId="29" borderId="61" xfId="137" applyNumberFormat="1" applyFont="1" applyFill="1" applyBorder="1" applyAlignment="1">
      <alignment horizontal="right" vertical="center"/>
    </xf>
    <xf numFmtId="168" fontId="20" fillId="29" borderId="10" xfId="136" applyNumberFormat="1" applyFont="1" applyFill="1" applyBorder="1" applyAlignment="1">
      <alignment vertical="center" wrapText="1"/>
    </xf>
    <xf numFmtId="2" fontId="41" fillId="28" borderId="10" xfId="0" applyNumberFormat="1" applyFont="1" applyFill="1" applyBorder="1" applyAlignment="1">
      <alignment horizontal="center" vertical="center"/>
    </xf>
    <xf numFmtId="2" fontId="41" fillId="28" borderId="61" xfId="0" applyNumberFormat="1" applyFont="1" applyFill="1" applyBorder="1" applyAlignment="1">
      <alignment horizontal="center" vertical="center"/>
    </xf>
    <xf numFmtId="2" fontId="42" fillId="0" borderId="39" xfId="0" applyNumberFormat="1" applyFont="1" applyBorder="1" applyAlignment="1"/>
    <xf numFmtId="2" fontId="42" fillId="0" borderId="0" xfId="0" applyNumberFormat="1" applyFont="1" applyBorder="1" applyAlignment="1"/>
    <xf numFmtId="2" fontId="20" fillId="25" borderId="15" xfId="134" applyNumberFormat="1" applyFont="1" applyFill="1" applyBorder="1" applyAlignment="1">
      <alignment horizontal="center" vertical="center"/>
    </xf>
    <xf numFmtId="2" fontId="20" fillId="25" borderId="16" xfId="134" applyNumberFormat="1" applyFont="1" applyFill="1" applyBorder="1" applyAlignment="1">
      <alignment horizontal="center" vertical="center"/>
    </xf>
    <xf numFmtId="2" fontId="20" fillId="0" borderId="0" xfId="134" applyNumberFormat="1" applyFont="1"/>
    <xf numFmtId="2" fontId="20" fillId="25" borderId="21" xfId="134" applyNumberFormat="1" applyFont="1" applyFill="1" applyBorder="1" applyAlignment="1">
      <alignment horizontal="center" vertical="center"/>
    </xf>
    <xf numFmtId="2" fontId="20" fillId="25" borderId="33" xfId="134" applyNumberFormat="1" applyFont="1" applyFill="1" applyBorder="1" applyAlignment="1">
      <alignment horizontal="center" vertical="center"/>
    </xf>
    <xf numFmtId="2" fontId="20" fillId="25" borderId="52" xfId="134" applyNumberFormat="1" applyFont="1" applyFill="1" applyBorder="1" applyAlignment="1">
      <alignment horizontal="center" vertical="center"/>
    </xf>
    <xf numFmtId="2" fontId="20" fillId="25" borderId="53" xfId="134" applyNumberFormat="1" applyFont="1" applyFill="1" applyBorder="1" applyAlignment="1">
      <alignment horizontal="center" vertical="center"/>
    </xf>
    <xf numFmtId="2" fontId="20" fillId="25" borderId="51" xfId="134" applyNumberFormat="1" applyFont="1" applyFill="1" applyBorder="1" applyAlignment="1">
      <alignment horizontal="center" vertical="center"/>
    </xf>
    <xf numFmtId="2" fontId="20" fillId="25" borderId="54" xfId="134" applyNumberFormat="1" applyFont="1" applyFill="1" applyBorder="1" applyAlignment="1">
      <alignment horizontal="center" vertical="center"/>
    </xf>
    <xf numFmtId="2" fontId="20" fillId="25" borderId="43" xfId="134" applyNumberFormat="1" applyFont="1" applyFill="1" applyBorder="1" applyAlignment="1">
      <alignment horizontal="center" vertical="center"/>
    </xf>
    <xf numFmtId="2" fontId="20" fillId="25" borderId="46" xfId="134" applyNumberFormat="1" applyFont="1" applyFill="1" applyBorder="1" applyAlignment="1">
      <alignment horizontal="center" vertical="center"/>
    </xf>
    <xf numFmtId="2" fontId="20" fillId="0" borderId="15" xfId="135" applyNumberFormat="1" applyFont="1" applyBorder="1" applyAlignment="1">
      <alignment horizontal="center" vertical="center"/>
    </xf>
    <xf numFmtId="0" fontId="38" fillId="26" borderId="61" xfId="0" applyFont="1" applyFill="1" applyBorder="1" applyAlignment="1">
      <alignment horizontal="center" vertical="center" wrapText="1"/>
    </xf>
    <xf numFmtId="0" fontId="46" fillId="2" borderId="61" xfId="0" applyFont="1" applyFill="1" applyBorder="1" applyAlignment="1">
      <alignment horizontal="center" vertical="center" wrapText="1"/>
    </xf>
    <xf numFmtId="0" fontId="46" fillId="2" borderId="67" xfId="0" applyFont="1" applyFill="1" applyBorder="1" applyAlignment="1">
      <alignment horizontal="center" vertical="center" wrapText="1"/>
    </xf>
    <xf numFmtId="0" fontId="46" fillId="2" borderId="68" xfId="0" applyFont="1" applyFill="1" applyBorder="1" applyAlignment="1">
      <alignment horizontal="center" vertical="center" wrapText="1"/>
    </xf>
    <xf numFmtId="0" fontId="46" fillId="2" borderId="19" xfId="0" applyFont="1" applyFill="1" applyBorder="1" applyAlignment="1">
      <alignment horizontal="center" vertical="center" wrapText="1"/>
    </xf>
    <xf numFmtId="0" fontId="24" fillId="0" borderId="0" xfId="134" applyFont="1" applyAlignment="1">
      <alignment horizontal="center"/>
    </xf>
    <xf numFmtId="0" fontId="25" fillId="0" borderId="0" xfId="134" applyFont="1" applyAlignment="1">
      <alignment horizontal="left"/>
    </xf>
    <xf numFmtId="0" fontId="25" fillId="0" borderId="0" xfId="134" applyFont="1" applyAlignment="1">
      <alignment horizontal="center"/>
    </xf>
    <xf numFmtId="0" fontId="25" fillId="0" borderId="0" xfId="134" applyFont="1" applyAlignment="1">
      <alignment horizontal="left" wrapText="1"/>
    </xf>
    <xf numFmtId="0" fontId="20" fillId="0" borderId="19" xfId="134" applyFont="1" applyBorder="1" applyAlignment="1">
      <alignment horizontal="center" vertical="center" wrapText="1"/>
    </xf>
    <xf numFmtId="0" fontId="20" fillId="0" borderId="67" xfId="134" applyFont="1" applyBorder="1" applyAlignment="1">
      <alignment horizontal="center" vertical="center" wrapText="1"/>
    </xf>
    <xf numFmtId="0" fontId="20" fillId="0" borderId="15" xfId="134" applyFont="1" applyBorder="1" applyAlignment="1">
      <alignment horizontal="center" vertical="center" wrapText="1"/>
    </xf>
    <xf numFmtId="0" fontId="27" fillId="0" borderId="0" xfId="134" applyFont="1" applyAlignment="1">
      <alignment horizontal="center" wrapText="1"/>
    </xf>
    <xf numFmtId="0" fontId="20" fillId="0" borderId="23" xfId="134" applyFont="1" applyBorder="1" applyAlignment="1">
      <alignment horizontal="center" vertical="center"/>
    </xf>
    <xf numFmtId="0" fontId="20" fillId="0" borderId="18" xfId="134" applyFont="1" applyBorder="1" applyAlignment="1">
      <alignment horizontal="center" vertical="center"/>
    </xf>
    <xf numFmtId="0" fontId="20" fillId="0" borderId="26" xfId="134" applyFont="1" applyBorder="1" applyAlignment="1">
      <alignment horizontal="center" vertical="center"/>
    </xf>
    <xf numFmtId="0" fontId="20" fillId="0" borderId="24" xfId="134" applyFont="1" applyBorder="1" applyAlignment="1">
      <alignment horizontal="center" vertical="center"/>
    </xf>
    <xf numFmtId="0" fontId="20" fillId="0" borderId="38" xfId="134" applyFont="1" applyBorder="1" applyAlignment="1">
      <alignment horizontal="center" vertical="center"/>
    </xf>
    <xf numFmtId="0" fontId="20" fillId="0" borderId="25" xfId="134" applyFont="1" applyBorder="1" applyAlignment="1">
      <alignment horizontal="center" vertical="center"/>
    </xf>
    <xf numFmtId="0" fontId="20" fillId="0" borderId="34" xfId="134" applyFont="1" applyBorder="1" applyAlignment="1">
      <alignment horizontal="center" vertical="center"/>
    </xf>
    <xf numFmtId="0" fontId="20" fillId="0" borderId="35" xfId="134" applyFont="1" applyBorder="1" applyAlignment="1">
      <alignment horizontal="center" vertical="center"/>
    </xf>
    <xf numFmtId="0" fontId="20" fillId="0" borderId="44" xfId="134" applyFont="1" applyBorder="1" applyAlignment="1">
      <alignment horizontal="center" vertical="center" wrapText="1"/>
    </xf>
    <xf numFmtId="0" fontId="20" fillId="0" borderId="45" xfId="134" applyFont="1" applyBorder="1" applyAlignment="1">
      <alignment horizontal="center" vertical="center" wrapText="1"/>
    </xf>
    <xf numFmtId="0" fontId="20" fillId="0" borderId="46" xfId="134" applyFont="1" applyBorder="1" applyAlignment="1">
      <alignment horizontal="center" vertical="center" wrapText="1"/>
    </xf>
    <xf numFmtId="0" fontId="20" fillId="0" borderId="36" xfId="134" applyFont="1" applyBorder="1" applyAlignment="1">
      <alignment horizontal="center" vertical="center" wrapText="1"/>
    </xf>
    <xf numFmtId="0" fontId="20" fillId="0" borderId="20" xfId="134" applyFont="1" applyBorder="1" applyAlignment="1">
      <alignment horizontal="center" vertical="center" wrapText="1"/>
    </xf>
    <xf numFmtId="0" fontId="20" fillId="0" borderId="28" xfId="134" applyFont="1" applyBorder="1" applyAlignment="1">
      <alignment horizontal="center" vertical="center" wrapText="1"/>
    </xf>
    <xf numFmtId="0" fontId="20" fillId="0" borderId="13" xfId="134" applyFont="1" applyBorder="1" applyAlignment="1">
      <alignment horizontal="center" vertical="center" wrapText="1"/>
    </xf>
    <xf numFmtId="0" fontId="28" fillId="0" borderId="19" xfId="134" applyFont="1" applyBorder="1" applyAlignment="1">
      <alignment horizontal="center" vertical="center" wrapText="1"/>
    </xf>
    <xf numFmtId="0" fontId="28" fillId="0" borderId="67" xfId="134" applyFont="1" applyBorder="1" applyAlignment="1">
      <alignment horizontal="center" vertical="center" wrapText="1"/>
    </xf>
    <xf numFmtId="0" fontId="28" fillId="0" borderId="15" xfId="134" applyFont="1" applyBorder="1" applyAlignment="1">
      <alignment horizontal="center" vertical="center" wrapText="1"/>
    </xf>
    <xf numFmtId="0" fontId="20" fillId="25" borderId="22" xfId="134" applyFont="1" applyFill="1" applyBorder="1" applyAlignment="1">
      <alignment horizontal="center" vertical="center" wrapText="1"/>
    </xf>
    <xf numFmtId="0" fontId="20" fillId="25" borderId="13" xfId="134" applyFont="1" applyFill="1" applyBorder="1" applyAlignment="1">
      <alignment horizontal="center" vertical="center" wrapText="1"/>
    </xf>
    <xf numFmtId="0" fontId="20" fillId="25" borderId="16" xfId="134" applyFont="1" applyFill="1" applyBorder="1" applyAlignment="1">
      <alignment horizontal="center" vertical="center" wrapText="1"/>
    </xf>
    <xf numFmtId="0" fontId="29" fillId="0" borderId="67" xfId="135" applyFont="1" applyBorder="1" applyAlignment="1">
      <alignment horizontal="center" vertical="center" wrapText="1"/>
    </xf>
    <xf numFmtId="0" fontId="29" fillId="0" borderId="15" xfId="135" applyFont="1" applyBorder="1" applyAlignment="1">
      <alignment horizontal="center" vertical="center" wrapText="1"/>
    </xf>
    <xf numFmtId="0" fontId="20" fillId="0" borderId="65" xfId="134" applyFont="1" applyBorder="1" applyAlignment="1">
      <alignment horizontal="center" vertical="center" wrapText="1"/>
    </xf>
    <xf numFmtId="0" fontId="20" fillId="0" borderId="50" xfId="134" applyFont="1" applyBorder="1" applyAlignment="1">
      <alignment horizontal="center" vertical="center" wrapText="1"/>
    </xf>
    <xf numFmtId="0" fontId="20" fillId="0" borderId="51" xfId="134" applyFont="1" applyBorder="1" applyAlignment="1">
      <alignment horizontal="center" vertical="center" wrapText="1"/>
    </xf>
    <xf numFmtId="0" fontId="20" fillId="0" borderId="67" xfId="134" applyFont="1" applyBorder="1" applyAlignment="1">
      <alignment horizontal="center" vertical="center"/>
    </xf>
    <xf numFmtId="0" fontId="20" fillId="25" borderId="67" xfId="134" applyFont="1" applyFill="1" applyBorder="1" applyAlignment="1">
      <alignment horizontal="center" vertical="center" wrapText="1"/>
    </xf>
    <xf numFmtId="0" fontId="20" fillId="25" borderId="15" xfId="134" applyFont="1" applyFill="1" applyBorder="1" applyAlignment="1">
      <alignment horizontal="center" vertical="center" wrapText="1"/>
    </xf>
    <xf numFmtId="0" fontId="20" fillId="0" borderId="21" xfId="134" applyFont="1" applyBorder="1" applyAlignment="1">
      <alignment horizontal="center" vertical="center" wrapText="1"/>
    </xf>
    <xf numFmtId="0" fontId="20" fillId="0" borderId="12" xfId="134" applyFont="1" applyBorder="1" applyAlignment="1">
      <alignment horizontal="center" vertical="center" wrapText="1"/>
    </xf>
    <xf numFmtId="0" fontId="20" fillId="0" borderId="14" xfId="134" applyFont="1" applyBorder="1" applyAlignment="1">
      <alignment horizontal="center" vertical="center" wrapText="1"/>
    </xf>
    <xf numFmtId="166" fontId="20" fillId="0" borderId="0" xfId="136" applyFont="1" applyBorder="1" applyAlignment="1">
      <alignment horizontal="center" vertical="center" wrapText="1"/>
    </xf>
    <xf numFmtId="0" fontId="20" fillId="0" borderId="18" xfId="136" applyNumberFormat="1" applyFont="1" applyBorder="1" applyAlignment="1">
      <alignment horizontal="center" vertical="center" wrapText="1"/>
    </xf>
    <xf numFmtId="0" fontId="20" fillId="0" borderId="28" xfId="136" applyNumberFormat="1" applyFont="1" applyBorder="1" applyAlignment="1">
      <alignment horizontal="center" vertical="center" wrapText="1"/>
    </xf>
    <xf numFmtId="0" fontId="31" fillId="0" borderId="18" xfId="135" applyFont="1" applyBorder="1" applyAlignment="1">
      <alignment horizontal="center" vertical="top" wrapText="1"/>
    </xf>
    <xf numFmtId="0" fontId="31" fillId="0" borderId="39" xfId="135" applyFont="1" applyBorder="1" applyAlignment="1">
      <alignment horizontal="center" vertical="top" wrapText="1"/>
    </xf>
    <xf numFmtId="0" fontId="31" fillId="0" borderId="56" xfId="135" applyFont="1" applyBorder="1" applyAlignment="1">
      <alignment horizontal="center" vertical="top" wrapText="1"/>
    </xf>
    <xf numFmtId="166" fontId="27" fillId="0" borderId="0" xfId="136" applyFont="1" applyBorder="1" applyAlignment="1">
      <alignment horizontal="center" vertical="center" wrapText="1"/>
    </xf>
    <xf numFmtId="166" fontId="27" fillId="0" borderId="18" xfId="136" applyFont="1" applyBorder="1" applyAlignment="1">
      <alignment horizontal="center" vertical="center" wrapText="1"/>
    </xf>
    <xf numFmtId="166" fontId="27" fillId="0" borderId="39" xfId="136" applyFont="1" applyBorder="1" applyAlignment="1">
      <alignment horizontal="center" vertical="center" wrapText="1"/>
    </xf>
    <xf numFmtId="166" fontId="27" fillId="0" borderId="56" xfId="136" applyFont="1" applyBorder="1" applyAlignment="1">
      <alignment horizontal="center" vertical="center" wrapText="1"/>
    </xf>
    <xf numFmtId="0" fontId="20" fillId="0" borderId="40" xfId="136" applyNumberFormat="1" applyFont="1" applyBorder="1" applyAlignment="1">
      <alignment horizontal="right" vertical="center" wrapText="1"/>
    </xf>
    <xf numFmtId="0" fontId="20" fillId="0" borderId="41" xfId="136" applyNumberFormat="1" applyFont="1" applyBorder="1" applyAlignment="1">
      <alignment horizontal="right" vertical="center" wrapText="1"/>
    </xf>
    <xf numFmtId="0" fontId="20" fillId="0" borderId="21" xfId="136" applyNumberFormat="1" applyFont="1" applyBorder="1" applyAlignment="1">
      <alignment horizontal="right" vertical="center" wrapText="1"/>
    </xf>
    <xf numFmtId="166" fontId="20" fillId="0" borderId="57" xfId="136" applyFont="1" applyBorder="1" applyAlignment="1">
      <alignment horizontal="center" vertical="center" wrapText="1"/>
    </xf>
    <xf numFmtId="166" fontId="20" fillId="0" borderId="58" xfId="136" applyFont="1" applyBorder="1" applyAlignment="1">
      <alignment horizontal="center" vertical="center" wrapText="1"/>
    </xf>
    <xf numFmtId="166" fontId="20" fillId="0" borderId="19" xfId="136" applyFont="1" applyBorder="1" applyAlignment="1">
      <alignment horizontal="center" vertical="center" wrapText="1"/>
    </xf>
    <xf numFmtId="0" fontId="20" fillId="0" borderId="57" xfId="136" applyNumberFormat="1" applyFont="1" applyBorder="1" applyAlignment="1">
      <alignment horizontal="center" vertical="center" wrapText="1"/>
    </xf>
    <xf numFmtId="0" fontId="20" fillId="0" borderId="58" xfId="136" applyNumberFormat="1" applyFont="1" applyBorder="1" applyAlignment="1">
      <alignment horizontal="center" vertical="center" wrapText="1"/>
    </xf>
    <xf numFmtId="0" fontId="20" fillId="0" borderId="19" xfId="136" applyNumberFormat="1" applyFont="1" applyBorder="1" applyAlignment="1">
      <alignment horizontal="center" vertical="center" wrapText="1"/>
    </xf>
    <xf numFmtId="2" fontId="20" fillId="0" borderId="57" xfId="136" applyNumberFormat="1" applyFont="1" applyBorder="1" applyAlignment="1">
      <alignment horizontal="center" vertical="center" wrapText="1"/>
    </xf>
    <xf numFmtId="2" fontId="20" fillId="0" borderId="58" xfId="136" applyNumberFormat="1" applyFont="1" applyBorder="1" applyAlignment="1">
      <alignment horizontal="center" vertical="center" wrapText="1"/>
    </xf>
    <xf numFmtId="2" fontId="20" fillId="0" borderId="19" xfId="136" applyNumberFormat="1" applyFont="1" applyBorder="1" applyAlignment="1">
      <alignment horizontal="center" vertical="center" wrapText="1"/>
    </xf>
    <xf numFmtId="165" fontId="20" fillId="0" borderId="57" xfId="136" applyNumberFormat="1" applyFont="1" applyBorder="1" applyAlignment="1">
      <alignment horizontal="center" vertical="center" wrapText="1"/>
    </xf>
    <xf numFmtId="165" fontId="20" fillId="0" borderId="58" xfId="136" applyNumberFormat="1" applyFont="1" applyBorder="1" applyAlignment="1">
      <alignment horizontal="center" vertical="center" wrapText="1"/>
    </xf>
    <xf numFmtId="165" fontId="20" fillId="0" borderId="19" xfId="136" applyNumberFormat="1" applyFont="1" applyBorder="1" applyAlignment="1">
      <alignment horizontal="center" vertical="center" wrapText="1"/>
    </xf>
    <xf numFmtId="166" fontId="20" fillId="29" borderId="68" xfId="136" applyFont="1" applyFill="1" applyBorder="1" applyAlignment="1">
      <alignment horizontal="center" vertical="center" wrapText="1"/>
    </xf>
    <xf numFmtId="166" fontId="20" fillId="29" borderId="58" xfId="136" applyFont="1" applyFill="1" applyBorder="1" applyAlignment="1">
      <alignment horizontal="center" vertical="center" wrapText="1"/>
    </xf>
    <xf numFmtId="166" fontId="20" fillId="29" borderId="19" xfId="136" applyFont="1" applyFill="1" applyBorder="1" applyAlignment="1">
      <alignment horizontal="center" vertical="center" wrapText="1"/>
    </xf>
    <xf numFmtId="166" fontId="20" fillId="0" borderId="47" xfId="136" applyFont="1" applyBorder="1" applyAlignment="1">
      <alignment horizontal="center" vertical="center" wrapText="1"/>
    </xf>
    <xf numFmtId="166" fontId="20" fillId="0" borderId="59" xfId="136" applyFont="1" applyBorder="1" applyAlignment="1">
      <alignment horizontal="center" vertical="center" wrapText="1"/>
    </xf>
    <xf numFmtId="166" fontId="20" fillId="0" borderId="22" xfId="136" applyFont="1" applyBorder="1" applyAlignment="1">
      <alignment horizontal="center" vertical="center" wrapText="1"/>
    </xf>
    <xf numFmtId="166" fontId="34" fillId="0" borderId="0" xfId="136" applyFont="1" applyBorder="1" applyAlignment="1">
      <alignment horizontal="center" vertical="top" wrapText="1"/>
    </xf>
    <xf numFmtId="166" fontId="20" fillId="0" borderId="0" xfId="136" applyFont="1" applyBorder="1" applyAlignment="1">
      <alignment horizontal="center" vertical="top" wrapText="1"/>
    </xf>
    <xf numFmtId="49" fontId="36" fillId="0" borderId="0" xfId="136" applyNumberFormat="1" applyFont="1" applyBorder="1" applyAlignment="1">
      <alignment horizontal="left" vertical="center" wrapText="1"/>
    </xf>
    <xf numFmtId="166" fontId="34" fillId="0" borderId="0" xfId="136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20" fillId="0" borderId="17" xfId="134" applyFont="1" applyBorder="1" applyAlignment="1">
      <alignment horizontal="center" vertical="center"/>
    </xf>
    <xf numFmtId="0" fontId="20" fillId="0" borderId="12" xfId="134" applyFont="1" applyBorder="1" applyAlignment="1">
      <alignment horizontal="center" vertical="center"/>
    </xf>
    <xf numFmtId="0" fontId="20" fillId="0" borderId="37" xfId="134" applyFont="1" applyBorder="1" applyAlignment="1">
      <alignment horizontal="center" vertical="center"/>
    </xf>
    <xf numFmtId="0" fontId="20" fillId="0" borderId="10" xfId="134" applyFont="1" applyBorder="1" applyAlignment="1">
      <alignment horizontal="center" vertical="center"/>
    </xf>
    <xf numFmtId="0" fontId="20" fillId="0" borderId="37" xfId="134" applyFont="1" applyBorder="1" applyAlignment="1">
      <alignment horizontal="center" vertical="center" wrapText="1"/>
    </xf>
    <xf numFmtId="0" fontId="20" fillId="0" borderId="10" xfId="134" applyFont="1" applyBorder="1" applyAlignment="1">
      <alignment horizontal="center" vertical="center" wrapText="1"/>
    </xf>
    <xf numFmtId="0" fontId="28" fillId="0" borderId="10" xfId="134" applyFont="1" applyBorder="1" applyAlignment="1">
      <alignment horizontal="center" vertical="center" wrapText="1"/>
    </xf>
    <xf numFmtId="0" fontId="20" fillId="25" borderId="10" xfId="134" applyFont="1" applyFill="1" applyBorder="1" applyAlignment="1">
      <alignment horizontal="center" vertical="center" wrapText="1"/>
    </xf>
    <xf numFmtId="0" fontId="29" fillId="0" borderId="10" xfId="135" applyFont="1" applyBorder="1" applyAlignment="1">
      <alignment horizontal="center" vertical="center" wrapText="1"/>
    </xf>
    <xf numFmtId="0" fontId="20" fillId="0" borderId="17" xfId="134" applyFont="1" applyBorder="1" applyAlignment="1">
      <alignment horizontal="center" vertical="center" wrapText="1"/>
    </xf>
    <xf numFmtId="0" fontId="20" fillId="0" borderId="49" xfId="134" applyFont="1" applyBorder="1" applyAlignment="1">
      <alignment horizontal="center" vertical="center" wrapText="1"/>
    </xf>
    <xf numFmtId="0" fontId="27" fillId="0" borderId="0" xfId="134" applyFont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/>
    </xf>
    <xf numFmtId="0" fontId="42" fillId="0" borderId="39" xfId="0" applyFont="1" applyBorder="1" applyAlignment="1">
      <alignment horizontal="center"/>
    </xf>
    <xf numFmtId="0" fontId="41" fillId="0" borderId="57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center" vertical="center" wrapText="1"/>
    </xf>
    <xf numFmtId="0" fontId="41" fillId="0" borderId="4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4" fontId="36" fillId="0" borderId="0" xfId="39" applyNumberFormat="1" applyFont="1" applyFill="1" applyBorder="1" applyAlignment="1">
      <alignment horizontal="center" wrapText="1"/>
    </xf>
    <xf numFmtId="0" fontId="41" fillId="0" borderId="57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4" fontId="36" fillId="0" borderId="11" xfId="39" applyNumberFormat="1" applyFont="1" applyFill="1" applyBorder="1" applyAlignment="1">
      <alignment horizontal="center" vertical="top" wrapText="1"/>
    </xf>
    <xf numFmtId="4" fontId="36" fillId="0" borderId="28" xfId="39" applyNumberFormat="1" applyFont="1" applyFill="1" applyBorder="1" applyAlignment="1">
      <alignment horizontal="center" vertical="top" wrapText="1"/>
    </xf>
  </cellXfs>
  <cellStyles count="145">
    <cellStyle name="20% - Акцент1 2" xfId="47"/>
    <cellStyle name="20% - Акцент1 3" xfId="92"/>
    <cellStyle name="20% - Акцент1 4" xfId="2"/>
    <cellStyle name="20% - Акцент2 2" xfId="48"/>
    <cellStyle name="20% - Акцент2 3" xfId="93"/>
    <cellStyle name="20% - Акцент2 4" xfId="3"/>
    <cellStyle name="20% - Акцент3 2" xfId="49"/>
    <cellStyle name="20% - Акцент3 3" xfId="94"/>
    <cellStyle name="20% - Акцент3 4" xfId="4"/>
    <cellStyle name="20% - Акцент4 2" xfId="50"/>
    <cellStyle name="20% - Акцент4 3" xfId="95"/>
    <cellStyle name="20% - Акцент4 4" xfId="5"/>
    <cellStyle name="20% - Акцент5 2" xfId="51"/>
    <cellStyle name="20% - Акцент5 3" xfId="96"/>
    <cellStyle name="20% - Акцент5 4" xfId="6"/>
    <cellStyle name="20% - Акцент6 2" xfId="52"/>
    <cellStyle name="20% - Акцент6 3" xfId="97"/>
    <cellStyle name="20% - Акцент6 4" xfId="7"/>
    <cellStyle name="40% - Акцент1 2" xfId="53"/>
    <cellStyle name="40% - Акцент1 3" xfId="98"/>
    <cellStyle name="40% - Акцент1 4" xfId="8"/>
    <cellStyle name="40% - Акцент2 2" xfId="54"/>
    <cellStyle name="40% - Акцент2 3" xfId="99"/>
    <cellStyle name="40% - Акцент2 4" xfId="9"/>
    <cellStyle name="40% - Акцент3 2" xfId="55"/>
    <cellStyle name="40% - Акцент3 3" xfId="100"/>
    <cellStyle name="40% - Акцент3 4" xfId="10"/>
    <cellStyle name="40% - Акцент4 2" xfId="56"/>
    <cellStyle name="40% - Акцент4 3" xfId="101"/>
    <cellStyle name="40% - Акцент4 4" xfId="11"/>
    <cellStyle name="40% - Акцент5 2" xfId="57"/>
    <cellStyle name="40% - Акцент5 3" xfId="102"/>
    <cellStyle name="40% - Акцент5 4" xfId="12"/>
    <cellStyle name="40% - Акцент6 2" xfId="58"/>
    <cellStyle name="40% - Акцент6 3" xfId="103"/>
    <cellStyle name="40% - Акцент6 4" xfId="13"/>
    <cellStyle name="60% - Акцент1 2" xfId="59"/>
    <cellStyle name="60% - Акцент1 3" xfId="104"/>
    <cellStyle name="60% - Акцент1 4" xfId="14"/>
    <cellStyle name="60% - Акцент2 2" xfId="60"/>
    <cellStyle name="60% - Акцент2 3" xfId="105"/>
    <cellStyle name="60% - Акцент2 4" xfId="15"/>
    <cellStyle name="60% - Акцент3 2" xfId="61"/>
    <cellStyle name="60% - Акцент3 3" xfId="106"/>
    <cellStyle name="60% - Акцент3 4" xfId="16"/>
    <cellStyle name="60% - Акцент4 2" xfId="62"/>
    <cellStyle name="60% - Акцент4 3" xfId="107"/>
    <cellStyle name="60% - Акцент4 4" xfId="17"/>
    <cellStyle name="60% - Акцент5 2" xfId="63"/>
    <cellStyle name="60% - Акцент5 3" xfId="108"/>
    <cellStyle name="60% - Акцент5 4" xfId="18"/>
    <cellStyle name="60% - Акцент6 2" xfId="64"/>
    <cellStyle name="60% - Акцент6 3" xfId="109"/>
    <cellStyle name="60% - Акцент6 4" xfId="19"/>
    <cellStyle name="Comma" xfId="143"/>
    <cellStyle name="Comma [0]" xfId="144"/>
    <cellStyle name="Currency" xfId="141"/>
    <cellStyle name="Currency [0]" xfId="142"/>
    <cellStyle name="Normal" xfId="137"/>
    <cellStyle name="Percent" xfId="140"/>
    <cellStyle name="Акцент1 2" xfId="65"/>
    <cellStyle name="Акцент1 3" xfId="110"/>
    <cellStyle name="Акцент1 4" xfId="20"/>
    <cellStyle name="Акцент2 2" xfId="66"/>
    <cellStyle name="Акцент2 3" xfId="111"/>
    <cellStyle name="Акцент2 4" xfId="21"/>
    <cellStyle name="Акцент3 2" xfId="67"/>
    <cellStyle name="Акцент3 3" xfId="112"/>
    <cellStyle name="Акцент3 4" xfId="22"/>
    <cellStyle name="Акцент4 2" xfId="68"/>
    <cellStyle name="Акцент4 3" xfId="113"/>
    <cellStyle name="Акцент4 4" xfId="23"/>
    <cellStyle name="Акцент5 2" xfId="69"/>
    <cellStyle name="Акцент5 3" xfId="114"/>
    <cellStyle name="Акцент5 4" xfId="24"/>
    <cellStyle name="Акцент6 2" xfId="70"/>
    <cellStyle name="Акцент6 3" xfId="115"/>
    <cellStyle name="Акцент6 4" xfId="25"/>
    <cellStyle name="Ввод  2" xfId="71"/>
    <cellStyle name="Ввод  3" xfId="116"/>
    <cellStyle name="Ввод  4" xfId="26"/>
    <cellStyle name="Вывод 2" xfId="72"/>
    <cellStyle name="Вывод 3" xfId="117"/>
    <cellStyle name="Вывод 4" xfId="27"/>
    <cellStyle name="Вычисление 2" xfId="73"/>
    <cellStyle name="Вычисление 3" xfId="118"/>
    <cellStyle name="Вычисление 4" xfId="28"/>
    <cellStyle name="Заголовок 1 2" xfId="74"/>
    <cellStyle name="Заголовок 1 3" xfId="119"/>
    <cellStyle name="Заголовок 1 4" xfId="29"/>
    <cellStyle name="Заголовок 2 2" xfId="75"/>
    <cellStyle name="Заголовок 2 3" xfId="120"/>
    <cellStyle name="Заголовок 2 4" xfId="30"/>
    <cellStyle name="Заголовок 3 2" xfId="76"/>
    <cellStyle name="Заголовок 3 3" xfId="121"/>
    <cellStyle name="Заголовок 3 4" xfId="31"/>
    <cellStyle name="Заголовок 4 2" xfId="77"/>
    <cellStyle name="Заголовок 4 3" xfId="122"/>
    <cellStyle name="Заголовок 4 4" xfId="32"/>
    <cellStyle name="Итог 2" xfId="78"/>
    <cellStyle name="Итог 3" xfId="123"/>
    <cellStyle name="Итог 4" xfId="33"/>
    <cellStyle name="Контрольная ячейка 2" xfId="79"/>
    <cellStyle name="Контрольная ячейка 3" xfId="124"/>
    <cellStyle name="Контрольная ячейка 4" xfId="34"/>
    <cellStyle name="Название 2" xfId="80"/>
    <cellStyle name="Название 3" xfId="125"/>
    <cellStyle name="Название 4" xfId="35"/>
    <cellStyle name="Нейтральный 2" xfId="81"/>
    <cellStyle name="Нейтральный 3" xfId="126"/>
    <cellStyle name="Нейтральный 4" xfId="36"/>
    <cellStyle name="Обычный" xfId="0" builtinId="0"/>
    <cellStyle name="Обычный 2" xfId="37"/>
    <cellStyle name="Обычный 2 2" xfId="135"/>
    <cellStyle name="Обычный 3" xfId="38"/>
    <cellStyle name="Обычный 4" xfId="46"/>
    <cellStyle name="Обычный 4 2" xfId="133"/>
    <cellStyle name="Обычный 5" xfId="91"/>
    <cellStyle name="Обычный 6" xfId="90"/>
    <cellStyle name="Обычный 7" xfId="1"/>
    <cellStyle name="Обычный 8" xfId="134"/>
    <cellStyle name="Обычный 9" xfId="139"/>
    <cellStyle name="Обычный_Лист1" xfId="39"/>
    <cellStyle name="Плохой 2" xfId="82"/>
    <cellStyle name="Плохой 3" xfId="127"/>
    <cellStyle name="Плохой 4" xfId="40"/>
    <cellStyle name="Пояснение 2" xfId="83"/>
    <cellStyle name="Пояснение 3" xfId="128"/>
    <cellStyle name="Пояснение 4" xfId="41"/>
    <cellStyle name="Примечание 2" xfId="84"/>
    <cellStyle name="Примечание 3" xfId="129"/>
    <cellStyle name="Примечание 4" xfId="42"/>
    <cellStyle name="Связанная ячейка 2" xfId="85"/>
    <cellStyle name="Связанная ячейка 3" xfId="130"/>
    <cellStyle name="Связанная ячейка 4" xfId="43"/>
    <cellStyle name="Текст предупреждения 2" xfId="86"/>
    <cellStyle name="Текст предупреждения 3" xfId="131"/>
    <cellStyle name="Текст предупреждения 4" xfId="44"/>
    <cellStyle name="Финансовый" xfId="138" builtinId="3"/>
    <cellStyle name="Финансовый 2" xfId="87"/>
    <cellStyle name="Финансовый 3" xfId="89"/>
    <cellStyle name="Финансовый 4" xfId="136"/>
    <cellStyle name="Хороший 2" xfId="88"/>
    <cellStyle name="Хороший 3" xfId="132"/>
    <cellStyle name="Хороший 4" xfId="45"/>
  </cellStyles>
  <dxfs count="2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="85" zoomScaleNormal="100" zoomScaleSheetLayoutView="85" workbookViewId="0">
      <selection activeCell="A2" sqref="A2:XFD4"/>
    </sheetView>
  </sheetViews>
  <sheetFormatPr defaultColWidth="8.85546875" defaultRowHeight="15" x14ac:dyDescent="0.25"/>
  <cols>
    <col min="1" max="1" width="42.85546875" style="242" customWidth="1"/>
    <col min="2" max="6" width="10.85546875" style="242" customWidth="1"/>
    <col min="7" max="9" width="7.7109375" style="242" hidden="1" customWidth="1"/>
    <col min="10" max="10" width="12.5703125" style="242" customWidth="1"/>
    <col min="11" max="11" width="22.42578125" style="242" customWidth="1"/>
    <col min="12" max="16384" width="8.85546875" style="242"/>
  </cols>
  <sheetData>
    <row r="1" spans="1:11" x14ac:dyDescent="0.25">
      <c r="A1" s="242" t="s">
        <v>257</v>
      </c>
      <c r="F1" s="243"/>
      <c r="K1" s="244">
        <f>8.6</f>
        <v>8.6</v>
      </c>
    </row>
    <row r="2" spans="1:11" ht="15.75" x14ac:dyDescent="0.25">
      <c r="A2" s="247"/>
      <c r="B2" s="247"/>
      <c r="C2" s="247"/>
      <c r="D2" s="247"/>
      <c r="E2" s="247"/>
      <c r="F2" s="247"/>
      <c r="G2" s="247"/>
      <c r="H2" s="247"/>
      <c r="I2" s="245"/>
      <c r="J2" s="245"/>
      <c r="K2" s="245">
        <v>19.440000000000001</v>
      </c>
    </row>
    <row r="3" spans="1:11" ht="19.5" customHeight="1" x14ac:dyDescent="0.25">
      <c r="A3" s="297" t="s">
        <v>0</v>
      </c>
      <c r="B3" s="298" t="s">
        <v>85</v>
      </c>
      <c r="C3" s="298"/>
      <c r="D3" s="298"/>
      <c r="E3" s="259"/>
      <c r="F3" s="259"/>
      <c r="G3" s="259"/>
      <c r="H3" s="260"/>
      <c r="I3" s="248"/>
      <c r="J3" s="296" t="s">
        <v>190</v>
      </c>
      <c r="K3" s="245"/>
    </row>
    <row r="4" spans="1:11" ht="15" customHeight="1" x14ac:dyDescent="0.25">
      <c r="A4" s="297"/>
      <c r="B4" s="298"/>
      <c r="C4" s="298"/>
      <c r="D4" s="298"/>
      <c r="E4" s="261" t="s">
        <v>225</v>
      </c>
      <c r="F4" s="261"/>
      <c r="G4" s="261"/>
      <c r="H4" s="262"/>
      <c r="I4" s="248"/>
      <c r="J4" s="296"/>
      <c r="K4" s="245"/>
    </row>
    <row r="5" spans="1:11" ht="13.9" customHeight="1" x14ac:dyDescent="0.25">
      <c r="A5" s="297"/>
      <c r="B5" s="298" t="s">
        <v>86</v>
      </c>
      <c r="C5" s="265">
        <v>2022</v>
      </c>
      <c r="D5" s="266">
        <v>2021</v>
      </c>
      <c r="E5" s="261"/>
      <c r="F5" s="261"/>
      <c r="G5" s="261"/>
      <c r="H5" s="262"/>
      <c r="I5" s="248"/>
      <c r="J5" s="296"/>
      <c r="K5" s="245"/>
    </row>
    <row r="6" spans="1:11" ht="29.45" customHeight="1" x14ac:dyDescent="0.25">
      <c r="A6" s="297"/>
      <c r="B6" s="298"/>
      <c r="C6" s="299" t="s">
        <v>84</v>
      </c>
      <c r="D6" s="299" t="s">
        <v>84</v>
      </c>
      <c r="E6" s="261"/>
      <c r="F6" s="261"/>
      <c r="G6" s="261"/>
      <c r="H6" s="262"/>
      <c r="I6" s="248"/>
      <c r="J6" s="296"/>
      <c r="K6" s="245"/>
    </row>
    <row r="7" spans="1:11" ht="15.75" customHeight="1" x14ac:dyDescent="0.25">
      <c r="A7" s="297"/>
      <c r="B7" s="298"/>
      <c r="C7" s="300"/>
      <c r="D7" s="300"/>
      <c r="E7" s="263"/>
      <c r="F7" s="263"/>
      <c r="G7" s="263"/>
      <c r="H7" s="264"/>
      <c r="I7" s="248"/>
      <c r="J7" s="296"/>
      <c r="K7" s="245"/>
    </row>
    <row r="8" spans="1:11" ht="29.25" customHeight="1" x14ac:dyDescent="0.25">
      <c r="A8" s="249" t="s">
        <v>1</v>
      </c>
      <c r="B8" s="250" t="s">
        <v>87</v>
      </c>
      <c r="C8" s="251">
        <f>'от продуктов (МРОТ)'!C8</f>
        <v>66.232585439999994</v>
      </c>
      <c r="D8" s="252">
        <v>55.452599999999997</v>
      </c>
      <c r="E8" s="252" t="s">
        <v>2</v>
      </c>
      <c r="F8" s="253">
        <v>450</v>
      </c>
      <c r="G8" s="252" t="s">
        <v>2</v>
      </c>
      <c r="H8" s="252" t="s">
        <v>3</v>
      </c>
      <c r="I8" s="251" t="e">
        <f>E8*0.39</f>
        <v>#VALUE!</v>
      </c>
      <c r="J8" s="251">
        <f>C8*F8/1000</f>
        <v>29.804663447999996</v>
      </c>
      <c r="K8" s="245"/>
    </row>
    <row r="9" spans="1:11" ht="29.25" customHeight="1" x14ac:dyDescent="0.25">
      <c r="A9" s="249" t="s">
        <v>4</v>
      </c>
      <c r="B9" s="250" t="s">
        <v>88</v>
      </c>
      <c r="C9" s="251">
        <f>'от продуктов (МРОТ)'!C9</f>
        <v>399.27819758400005</v>
      </c>
      <c r="D9" s="252">
        <v>334.29186000000004</v>
      </c>
      <c r="E9" s="252" t="s">
        <v>5</v>
      </c>
      <c r="F9" s="252">
        <v>40</v>
      </c>
      <c r="G9" s="252" t="s">
        <v>5</v>
      </c>
      <c r="H9" s="252" t="s">
        <v>6</v>
      </c>
      <c r="I9" s="251" t="e">
        <f>E9*0.03</f>
        <v>#VALUE!</v>
      </c>
      <c r="J9" s="251">
        <f>C9*F9/1000</f>
        <v>15.971127903360003</v>
      </c>
      <c r="K9" s="245"/>
    </row>
    <row r="10" spans="1:11" ht="17.25" customHeight="1" x14ac:dyDescent="0.25">
      <c r="A10" s="249" t="s">
        <v>7</v>
      </c>
      <c r="B10" s="250" t="s">
        <v>88</v>
      </c>
      <c r="C10" s="251">
        <f>'от продуктов (МРОТ)'!C10</f>
        <v>400.41593524799998</v>
      </c>
      <c r="D10" s="252">
        <v>335.24441999999999</v>
      </c>
      <c r="E10" s="252" t="s">
        <v>8</v>
      </c>
      <c r="F10" s="252">
        <v>11</v>
      </c>
      <c r="G10" s="252" t="s">
        <v>8</v>
      </c>
      <c r="H10" s="252" t="s">
        <v>9</v>
      </c>
      <c r="I10" s="251" t="e">
        <f>E10*0.009</f>
        <v>#VALUE!</v>
      </c>
      <c r="J10" s="251">
        <f>C10*F10/1000</f>
        <v>4.404575287728</v>
      </c>
      <c r="K10" s="245"/>
    </row>
    <row r="11" spans="1:11" ht="17.25" customHeight="1" x14ac:dyDescent="0.25">
      <c r="A11" s="249" t="s">
        <v>10</v>
      </c>
      <c r="B11" s="250" t="s">
        <v>88</v>
      </c>
      <c r="C11" s="251">
        <f>'от продуктов (МРОТ)'!C11</f>
        <v>777.45407040000009</v>
      </c>
      <c r="D11" s="252">
        <v>650.91600000000005</v>
      </c>
      <c r="E11" s="252" t="s">
        <v>11</v>
      </c>
      <c r="F11" s="252">
        <v>6.4</v>
      </c>
      <c r="G11" s="252" t="s">
        <v>12</v>
      </c>
      <c r="H11" s="252" t="s">
        <v>13</v>
      </c>
      <c r="I11" s="251" t="e">
        <f>E11*0.0043</f>
        <v>#VALUE!</v>
      </c>
      <c r="J11" s="251">
        <f>C11*F11/1000</f>
        <v>4.9757060505600013</v>
      </c>
      <c r="K11" s="245"/>
    </row>
    <row r="12" spans="1:11" ht="17.25" customHeight="1" x14ac:dyDescent="0.25">
      <c r="A12" s="249" t="s">
        <v>89</v>
      </c>
      <c r="B12" s="250" t="s">
        <v>88</v>
      </c>
      <c r="C12" s="251">
        <f>'от продуктов (МРОТ)'!C12</f>
        <v>352.15689600000002</v>
      </c>
      <c r="D12" s="252">
        <v>294.84000000000003</v>
      </c>
      <c r="E12" s="252" t="s">
        <v>14</v>
      </c>
      <c r="F12" s="252">
        <v>75</v>
      </c>
      <c r="G12" s="252" t="s">
        <v>15</v>
      </c>
      <c r="H12" s="252" t="s">
        <v>16</v>
      </c>
      <c r="I12" s="251" t="e">
        <f>E12*0.068</f>
        <v>#VALUE!</v>
      </c>
      <c r="J12" s="251">
        <f>C12*F12/1000</f>
        <v>26.411767200000003</v>
      </c>
      <c r="K12" s="245"/>
    </row>
    <row r="13" spans="1:11" ht="34.5" customHeight="1" x14ac:dyDescent="0.25">
      <c r="A13" s="249" t="s">
        <v>17</v>
      </c>
      <c r="B13" s="250" t="s">
        <v>88</v>
      </c>
      <c r="C13" s="251">
        <f>'от продуктов (МРОТ)'!C13</f>
        <v>230.25643199999999</v>
      </c>
      <c r="D13" s="252">
        <v>192.78</v>
      </c>
      <c r="E13" s="252" t="s">
        <v>18</v>
      </c>
      <c r="F13" s="252" t="s">
        <v>268</v>
      </c>
      <c r="G13" s="252" t="s">
        <v>19</v>
      </c>
      <c r="H13" s="252" t="s">
        <v>20</v>
      </c>
      <c r="I13" s="251" t="e">
        <f>E13*0.023</f>
        <v>#VALUE!</v>
      </c>
      <c r="J13" s="251">
        <f>C13*0.027</f>
        <v>6.2169236639999994</v>
      </c>
      <c r="K13" s="254"/>
    </row>
    <row r="14" spans="1:11" ht="34.5" customHeight="1" x14ac:dyDescent="0.25">
      <c r="A14" s="249" t="s">
        <v>21</v>
      </c>
      <c r="B14" s="250" t="s">
        <v>88</v>
      </c>
      <c r="C14" s="251">
        <f>'от продуктов (МРОТ)'!C14</f>
        <v>157.617299952</v>
      </c>
      <c r="D14" s="252">
        <v>131.96358000000001</v>
      </c>
      <c r="E14" s="252" t="s">
        <v>22</v>
      </c>
      <c r="F14" s="252">
        <v>39</v>
      </c>
      <c r="G14" s="252" t="s">
        <v>23</v>
      </c>
      <c r="H14" s="252" t="s">
        <v>24</v>
      </c>
      <c r="I14" s="251" t="e">
        <f>E14*0.034</f>
        <v>#VALUE!</v>
      </c>
      <c r="J14" s="251">
        <f>C14*F14/1000</f>
        <v>6.1470746981279998</v>
      </c>
      <c r="K14" s="254"/>
    </row>
    <row r="15" spans="1:11" ht="17.25" customHeight="1" x14ac:dyDescent="0.25">
      <c r="A15" s="249" t="s">
        <v>25</v>
      </c>
      <c r="B15" s="250" t="s">
        <v>88</v>
      </c>
      <c r="C15" s="251">
        <f>'от продуктов (МРОТ)'!C15</f>
        <v>474.66686232000001</v>
      </c>
      <c r="D15" s="252">
        <v>397.41030000000001</v>
      </c>
      <c r="E15" s="252" t="s">
        <v>26</v>
      </c>
      <c r="F15" s="252">
        <v>7</v>
      </c>
      <c r="G15" s="252" t="s">
        <v>26</v>
      </c>
      <c r="H15" s="252" t="s">
        <v>28</v>
      </c>
      <c r="I15" s="251">
        <v>0</v>
      </c>
      <c r="J15" s="251">
        <f>C15*F15/1000</f>
        <v>3.3226680362400001</v>
      </c>
      <c r="K15" s="254"/>
    </row>
    <row r="16" spans="1:11" ht="17.25" customHeight="1" x14ac:dyDescent="0.25">
      <c r="A16" s="249" t="s">
        <v>29</v>
      </c>
      <c r="B16" s="250" t="s">
        <v>90</v>
      </c>
      <c r="C16" s="251">
        <f>'от продуктов (МРОТ)'!C16</f>
        <v>9.8874820799999998</v>
      </c>
      <c r="D16" s="250">
        <v>8.2782</v>
      </c>
      <c r="E16" s="250" t="s">
        <v>30</v>
      </c>
      <c r="F16" s="250">
        <v>0.6</v>
      </c>
      <c r="G16" s="250" t="s">
        <v>19</v>
      </c>
      <c r="H16" s="250" t="s">
        <v>20</v>
      </c>
      <c r="I16" s="251">
        <v>3.26</v>
      </c>
      <c r="J16" s="251">
        <f>C16*F16</f>
        <v>5.9324892479999995</v>
      </c>
      <c r="K16" s="254"/>
    </row>
    <row r="17" spans="1:11" ht="17.25" customHeight="1" x14ac:dyDescent="0.25">
      <c r="A17" s="249" t="s">
        <v>91</v>
      </c>
      <c r="B17" s="250" t="s">
        <v>88</v>
      </c>
      <c r="C17" s="251">
        <f>'от продуктов (МРОТ)'!C17</f>
        <v>26.885824560000003</v>
      </c>
      <c r="D17" s="252">
        <v>22.509900000000002</v>
      </c>
      <c r="E17" s="252" t="s">
        <v>31</v>
      </c>
      <c r="F17" s="252">
        <v>187</v>
      </c>
      <c r="G17" s="252" t="s">
        <v>32</v>
      </c>
      <c r="H17" s="252" t="s">
        <v>33</v>
      </c>
      <c r="I17" s="251" t="e">
        <f>E17*0.16</f>
        <v>#VALUE!</v>
      </c>
      <c r="J17" s="251">
        <f>C17*F17/1000</f>
        <v>5.0276491927200002</v>
      </c>
      <c r="K17" s="254"/>
    </row>
    <row r="18" spans="1:11" ht="17.25" customHeight="1" x14ac:dyDescent="0.25">
      <c r="A18" s="249" t="s">
        <v>92</v>
      </c>
      <c r="B18" s="250" t="s">
        <v>88</v>
      </c>
      <c r="C18" s="251">
        <f>'от продуктов (МРОТ)'!C18</f>
        <v>60.408452159999996</v>
      </c>
      <c r="D18" s="252">
        <v>50.5764</v>
      </c>
      <c r="E18" s="252" t="s">
        <v>34</v>
      </c>
      <c r="F18" s="252">
        <v>325</v>
      </c>
      <c r="G18" s="252" t="s">
        <v>35</v>
      </c>
      <c r="H18" s="252" t="s">
        <v>36</v>
      </c>
      <c r="I18" s="251" t="e">
        <f>E18*0.256</f>
        <v>#VALUE!</v>
      </c>
      <c r="J18" s="251">
        <f>C18*F18/1000</f>
        <v>19.632746951999998</v>
      </c>
      <c r="K18" s="254"/>
    </row>
    <row r="19" spans="1:11" ht="17.25" customHeight="1" x14ac:dyDescent="0.25">
      <c r="A19" s="249" t="s">
        <v>37</v>
      </c>
      <c r="B19" s="250" t="s">
        <v>88</v>
      </c>
      <c r="C19" s="251">
        <f>'от продуктов (МРОТ)'!C19</f>
        <v>162.533952</v>
      </c>
      <c r="D19" s="252">
        <v>136.08000000000001</v>
      </c>
      <c r="E19" s="252" t="s">
        <v>38</v>
      </c>
      <c r="F19" s="252">
        <v>114</v>
      </c>
      <c r="G19" s="252" t="s">
        <v>39</v>
      </c>
      <c r="H19" s="252" t="s">
        <v>40</v>
      </c>
      <c r="I19" s="251" t="e">
        <f>E19*0.108</f>
        <v>#VALUE!</v>
      </c>
      <c r="J19" s="251">
        <f>C19*F19/1000</f>
        <v>18.528870527999999</v>
      </c>
      <c r="K19" s="254"/>
    </row>
    <row r="20" spans="1:11" ht="17.25" customHeight="1" x14ac:dyDescent="0.25">
      <c r="A20" s="249" t="s">
        <v>41</v>
      </c>
      <c r="B20" s="250" t="s">
        <v>88</v>
      </c>
      <c r="C20" s="251">
        <f>'от продуктов (МРОТ)'!C20</f>
        <v>281.72551680000004</v>
      </c>
      <c r="D20" s="252">
        <v>235.87200000000001</v>
      </c>
      <c r="E20" s="252" t="s">
        <v>8</v>
      </c>
      <c r="F20" s="252">
        <v>11</v>
      </c>
      <c r="G20" s="252" t="s">
        <v>8</v>
      </c>
      <c r="H20" s="252" t="s">
        <v>9</v>
      </c>
      <c r="I20" s="251" t="e">
        <f>E20*0.009</f>
        <v>#VALUE!</v>
      </c>
      <c r="J20" s="251">
        <f>C20*F20/1000</f>
        <v>3.0989806848000003</v>
      </c>
      <c r="K20" s="255"/>
    </row>
    <row r="21" spans="1:11" ht="17.25" customHeight="1" x14ac:dyDescent="0.25">
      <c r="A21" s="249" t="s">
        <v>42</v>
      </c>
      <c r="B21" s="250" t="s">
        <v>93</v>
      </c>
      <c r="C21" s="251">
        <f>'от продуктов (МРОТ)'!C21</f>
        <v>109.16863776</v>
      </c>
      <c r="D21" s="252">
        <v>91.400399999999991</v>
      </c>
      <c r="E21" s="252" t="s">
        <v>40</v>
      </c>
      <c r="F21" s="252">
        <v>100</v>
      </c>
      <c r="G21" s="252" t="s">
        <v>40</v>
      </c>
      <c r="H21" s="252" t="s">
        <v>40</v>
      </c>
      <c r="I21" s="251" t="e">
        <f>E21*0.1</f>
        <v>#VALUE!</v>
      </c>
      <c r="J21" s="251">
        <f>C21*F21/1000</f>
        <v>10.916863776</v>
      </c>
      <c r="K21" s="245"/>
    </row>
    <row r="22" spans="1:11" ht="27.75" customHeight="1" x14ac:dyDescent="0.25">
      <c r="A22" s="256" t="s">
        <v>43</v>
      </c>
      <c r="B22" s="250"/>
      <c r="C22" s="251">
        <f>'от продуктов (МРОТ)'!C22</f>
        <v>0</v>
      </c>
      <c r="D22" s="252">
        <v>0</v>
      </c>
      <c r="E22" s="252" t="s">
        <v>26</v>
      </c>
      <c r="F22" s="252">
        <v>0</v>
      </c>
      <c r="G22" s="252" t="s">
        <v>26</v>
      </c>
      <c r="H22" s="252" t="s">
        <v>15</v>
      </c>
      <c r="I22" s="251"/>
      <c r="J22" s="251">
        <v>0</v>
      </c>
      <c r="K22" s="245"/>
    </row>
    <row r="23" spans="1:11" ht="17.25" customHeight="1" x14ac:dyDescent="0.25">
      <c r="A23" s="249" t="s">
        <v>44</v>
      </c>
      <c r="B23" s="250" t="s">
        <v>88</v>
      </c>
      <c r="C23" s="251">
        <f>'от продуктов (МРОТ)'!C23</f>
        <v>74.535361488000007</v>
      </c>
      <c r="D23" s="252">
        <v>62.404020000000003</v>
      </c>
      <c r="E23" s="252" t="s">
        <v>6</v>
      </c>
      <c r="F23" s="252">
        <v>50</v>
      </c>
      <c r="G23" s="252" t="s">
        <v>6</v>
      </c>
      <c r="H23" s="252" t="s">
        <v>15</v>
      </c>
      <c r="I23" s="251" t="e">
        <f>E23*0.04</f>
        <v>#VALUE!</v>
      </c>
      <c r="J23" s="251">
        <f t="shared" ref="J23:J37" si="0">C23*F23/1000</f>
        <v>3.7267680744000002</v>
      </c>
      <c r="K23" s="245"/>
    </row>
    <row r="24" spans="1:11" ht="17.25" customHeight="1" x14ac:dyDescent="0.25">
      <c r="A24" s="249" t="s">
        <v>45</v>
      </c>
      <c r="B24" s="250" t="s">
        <v>88</v>
      </c>
      <c r="C24" s="251">
        <f>'от продуктов (МРОТ)'!C24</f>
        <v>98.333040959999977</v>
      </c>
      <c r="D24" s="252">
        <v>82.328399999999988</v>
      </c>
      <c r="E24" s="252" t="s">
        <v>46</v>
      </c>
      <c r="F24" s="252">
        <v>80</v>
      </c>
      <c r="G24" s="252" t="s">
        <v>46</v>
      </c>
      <c r="H24" s="252" t="s">
        <v>47</v>
      </c>
      <c r="I24" s="251" t="e">
        <f>E24*0.06</f>
        <v>#VALUE!</v>
      </c>
      <c r="J24" s="251">
        <f t="shared" si="0"/>
        <v>7.8666432767999979</v>
      </c>
      <c r="K24" s="245"/>
    </row>
    <row r="25" spans="1:11" ht="17.25" customHeight="1" x14ac:dyDescent="0.25">
      <c r="A25" s="249" t="s">
        <v>48</v>
      </c>
      <c r="B25" s="250" t="s">
        <v>88</v>
      </c>
      <c r="C25" s="251">
        <f>'от продуктов (МРОТ)'!C25</f>
        <v>48.949808544</v>
      </c>
      <c r="D25" s="252">
        <v>40.982759999999999</v>
      </c>
      <c r="E25" s="252" t="s">
        <v>5</v>
      </c>
      <c r="F25" s="252">
        <v>43</v>
      </c>
      <c r="G25" s="252" t="s">
        <v>5</v>
      </c>
      <c r="H25" s="252" t="s">
        <v>49</v>
      </c>
      <c r="I25" s="251" t="e">
        <f>E25*0.03</f>
        <v>#VALUE!</v>
      </c>
      <c r="J25" s="251">
        <f t="shared" si="0"/>
        <v>2.1048417673919997</v>
      </c>
      <c r="K25" s="245"/>
    </row>
    <row r="26" spans="1:11" ht="17.25" customHeight="1" x14ac:dyDescent="0.25">
      <c r="A26" s="249" t="s">
        <v>50</v>
      </c>
      <c r="B26" s="250" t="s">
        <v>88</v>
      </c>
      <c r="C26" s="251">
        <f>'от продуктов (МРОТ)'!C26</f>
        <v>72.327608639999994</v>
      </c>
      <c r="D26" s="252">
        <v>60.555599999999998</v>
      </c>
      <c r="E26" s="252" t="s">
        <v>51</v>
      </c>
      <c r="F26" s="252">
        <v>12</v>
      </c>
      <c r="G26" s="252" t="s">
        <v>51</v>
      </c>
      <c r="H26" s="252" t="s">
        <v>52</v>
      </c>
      <c r="I26" s="251" t="e">
        <f>E26*0.008</f>
        <v>#VALUE!</v>
      </c>
      <c r="J26" s="251">
        <f t="shared" si="0"/>
        <v>0.86793130367999993</v>
      </c>
      <c r="K26" s="245"/>
    </row>
    <row r="27" spans="1:11" ht="17.25" customHeight="1" x14ac:dyDescent="0.25">
      <c r="A27" s="249" t="s">
        <v>53</v>
      </c>
      <c r="B27" s="250" t="s">
        <v>88</v>
      </c>
      <c r="C27" s="251">
        <f>'от продуктов (МРОТ)'!C27</f>
        <v>42.814151855999995</v>
      </c>
      <c r="D27" s="252">
        <v>35.845739999999999</v>
      </c>
      <c r="E27" s="252" t="s">
        <v>54</v>
      </c>
      <c r="F27" s="252">
        <v>29</v>
      </c>
      <c r="G27" s="252" t="s">
        <v>54</v>
      </c>
      <c r="H27" s="252" t="s">
        <v>55</v>
      </c>
      <c r="I27" s="251" t="e">
        <f>E27*0.025</f>
        <v>#VALUE!</v>
      </c>
      <c r="J27" s="251">
        <f t="shared" si="0"/>
        <v>1.2416104038239999</v>
      </c>
      <c r="K27" s="245"/>
    </row>
    <row r="28" spans="1:11" ht="17.25" customHeight="1" x14ac:dyDescent="0.25">
      <c r="A28" s="249" t="s">
        <v>56</v>
      </c>
      <c r="B28" s="250" t="s">
        <v>88</v>
      </c>
      <c r="C28" s="251">
        <f>'от продуктов (МРОТ)'!C28</f>
        <v>880.39224000000002</v>
      </c>
      <c r="D28" s="252">
        <v>737.1</v>
      </c>
      <c r="E28" s="252" t="s">
        <v>57</v>
      </c>
      <c r="F28" s="252">
        <v>21</v>
      </c>
      <c r="G28" s="252" t="s">
        <v>57</v>
      </c>
      <c r="H28" s="252" t="s">
        <v>58</v>
      </c>
      <c r="I28" s="251" t="e">
        <f>E28*0.018</f>
        <v>#VALUE!</v>
      </c>
      <c r="J28" s="251">
        <f t="shared" si="0"/>
        <v>18.488237040000001</v>
      </c>
      <c r="K28" s="245"/>
    </row>
    <row r="29" spans="1:11" ht="17.25" customHeight="1" x14ac:dyDescent="0.25">
      <c r="A29" s="249" t="s">
        <v>59</v>
      </c>
      <c r="B29" s="250" t="s">
        <v>88</v>
      </c>
      <c r="C29" s="251">
        <f>'от продуктов (МРОТ)'!C29</f>
        <v>127.75168627199999</v>
      </c>
      <c r="D29" s="252">
        <v>106.95887999999999</v>
      </c>
      <c r="E29" s="252" t="s">
        <v>8</v>
      </c>
      <c r="F29" s="252">
        <v>11</v>
      </c>
      <c r="G29" s="252" t="s">
        <v>8</v>
      </c>
      <c r="H29" s="252" t="s">
        <v>9</v>
      </c>
      <c r="I29" s="251" t="e">
        <f>E29*0.009</f>
        <v>#VALUE!</v>
      </c>
      <c r="J29" s="251">
        <f t="shared" si="0"/>
        <v>1.4052685489919998</v>
      </c>
      <c r="K29" s="245"/>
    </row>
    <row r="30" spans="1:11" ht="17.25" customHeight="1" x14ac:dyDescent="0.25">
      <c r="A30" s="249" t="s">
        <v>94</v>
      </c>
      <c r="B30" s="250" t="s">
        <v>88</v>
      </c>
      <c r="C30" s="251">
        <f>'от продуктов (МРОТ)'!C30</f>
        <v>214.13848175999999</v>
      </c>
      <c r="D30" s="252">
        <v>179.28539999999998</v>
      </c>
      <c r="E30" s="252" t="s">
        <v>27</v>
      </c>
      <c r="F30" s="252">
        <v>20</v>
      </c>
      <c r="G30" s="252" t="s">
        <v>27</v>
      </c>
      <c r="H30" s="252" t="s">
        <v>19</v>
      </c>
      <c r="I30" s="251" t="e">
        <f>E30*0.007</f>
        <v>#VALUE!</v>
      </c>
      <c r="J30" s="251">
        <f t="shared" si="0"/>
        <v>4.2827696352000002</v>
      </c>
      <c r="K30" s="245"/>
    </row>
    <row r="31" spans="1:11" ht="17.25" customHeight="1" x14ac:dyDescent="0.25">
      <c r="A31" s="249" t="s">
        <v>60</v>
      </c>
      <c r="B31" s="250" t="s">
        <v>88</v>
      </c>
      <c r="C31" s="251">
        <f>'от продуктов (МРОТ)'!C31</f>
        <v>761.97271147200001</v>
      </c>
      <c r="D31" s="252">
        <v>637.95438000000001</v>
      </c>
      <c r="E31" s="252" t="s">
        <v>61</v>
      </c>
      <c r="F31" s="252">
        <v>0.6</v>
      </c>
      <c r="G31" s="252" t="s">
        <v>61</v>
      </c>
      <c r="H31" s="252" t="s">
        <v>62</v>
      </c>
      <c r="I31" s="251" t="e">
        <f>E31*0.0005</f>
        <v>#VALUE!</v>
      </c>
      <c r="J31" s="251">
        <f t="shared" si="0"/>
        <v>0.45718362688320002</v>
      </c>
      <c r="K31" s="245"/>
    </row>
    <row r="32" spans="1:11" ht="17.25" customHeight="1" x14ac:dyDescent="0.25">
      <c r="A32" s="249" t="s">
        <v>63</v>
      </c>
      <c r="B32" s="250" t="s">
        <v>88</v>
      </c>
      <c r="C32" s="251">
        <f>'от продуктов (МРОТ)'!C32</f>
        <v>963.01366559999997</v>
      </c>
      <c r="D32" s="252">
        <v>806.274</v>
      </c>
      <c r="E32" s="252" t="s">
        <v>61</v>
      </c>
      <c r="F32" s="252">
        <v>0.6</v>
      </c>
      <c r="G32" s="252" t="s">
        <v>61</v>
      </c>
      <c r="H32" s="252" t="s">
        <v>62</v>
      </c>
      <c r="I32" s="251" t="e">
        <f>E32*0.0005</f>
        <v>#VALUE!</v>
      </c>
      <c r="J32" s="251">
        <f t="shared" si="0"/>
        <v>0.57780819936000005</v>
      </c>
      <c r="K32" s="255"/>
    </row>
    <row r="33" spans="1:11" ht="17.25" customHeight="1" x14ac:dyDescent="0.25">
      <c r="A33" s="249" t="s">
        <v>95</v>
      </c>
      <c r="B33" s="250" t="s">
        <v>88</v>
      </c>
      <c r="C33" s="251">
        <f>'от продуктов (МРОТ)'!C33</f>
        <v>609.50232000000005</v>
      </c>
      <c r="D33" s="252">
        <v>510.3</v>
      </c>
      <c r="E33" s="252" t="s">
        <v>64</v>
      </c>
      <c r="F33" s="252">
        <v>1.2</v>
      </c>
      <c r="G33" s="252" t="s">
        <v>64</v>
      </c>
      <c r="H33" s="252" t="s">
        <v>65</v>
      </c>
      <c r="I33" s="251" t="e">
        <f>E33*0.001</f>
        <v>#VALUE!</v>
      </c>
      <c r="J33" s="251">
        <f t="shared" si="0"/>
        <v>0.73140278400000003</v>
      </c>
      <c r="K33" s="255"/>
    </row>
    <row r="34" spans="1:11" ht="17.25" customHeight="1" x14ac:dyDescent="0.25">
      <c r="A34" s="249" t="s">
        <v>66</v>
      </c>
      <c r="B34" s="250" t="s">
        <v>88</v>
      </c>
      <c r="C34" s="251">
        <f>'от продуктов (МРОТ)'!C34</f>
        <v>60.950232</v>
      </c>
      <c r="D34" s="252">
        <v>51.03</v>
      </c>
      <c r="E34" s="252" t="s">
        <v>24</v>
      </c>
      <c r="F34" s="252">
        <v>47</v>
      </c>
      <c r="G34" s="252" t="s">
        <v>24</v>
      </c>
      <c r="H34" s="252" t="s">
        <v>67</v>
      </c>
      <c r="I34" s="251" t="e">
        <f>E34*0.037</f>
        <v>#VALUE!</v>
      </c>
      <c r="J34" s="251">
        <f t="shared" si="0"/>
        <v>2.864660904</v>
      </c>
      <c r="K34" s="245"/>
    </row>
    <row r="35" spans="1:11" ht="17.25" customHeight="1" x14ac:dyDescent="0.25">
      <c r="A35" s="249" t="s">
        <v>68</v>
      </c>
      <c r="B35" s="250" t="s">
        <v>88</v>
      </c>
      <c r="C35" s="251">
        <f>'от продуктов (МРОТ)'!C35</f>
        <v>758.49177599999996</v>
      </c>
      <c r="D35" s="252">
        <v>635.04</v>
      </c>
      <c r="E35" s="252" t="s">
        <v>69</v>
      </c>
      <c r="F35" s="252">
        <v>0.5</v>
      </c>
      <c r="G35" s="252" t="s">
        <v>69</v>
      </c>
      <c r="H35" s="252" t="s">
        <v>61</v>
      </c>
      <c r="I35" s="251" t="e">
        <f>E35*0.0004</f>
        <v>#VALUE!</v>
      </c>
      <c r="J35" s="251">
        <f t="shared" si="0"/>
        <v>0.37924588799999998</v>
      </c>
      <c r="K35" s="255"/>
    </row>
    <row r="36" spans="1:11" ht="17.25" customHeight="1" x14ac:dyDescent="0.25">
      <c r="A36" s="256" t="s">
        <v>70</v>
      </c>
      <c r="B36" s="250" t="s">
        <v>88</v>
      </c>
      <c r="C36" s="251">
        <f>'от продуктов (МРОТ)'!C36</f>
        <v>397.53095760000002</v>
      </c>
      <c r="D36" s="252">
        <v>332.82900000000001</v>
      </c>
      <c r="E36" s="252" t="s">
        <v>71</v>
      </c>
      <c r="F36" s="252">
        <v>3</v>
      </c>
      <c r="G36" s="252" t="s">
        <v>71</v>
      </c>
      <c r="H36" s="252" t="s">
        <v>72</v>
      </c>
      <c r="I36" s="251" t="e">
        <f>E36*0.002</f>
        <v>#VALUE!</v>
      </c>
      <c r="J36" s="251">
        <f t="shared" si="0"/>
        <v>1.1925928728000001</v>
      </c>
      <c r="K36" s="245"/>
    </row>
    <row r="37" spans="1:11" ht="17.25" customHeight="1" thickBot="1" x14ac:dyDescent="0.3">
      <c r="A37" s="249" t="s">
        <v>73</v>
      </c>
      <c r="B37" s="250" t="s">
        <v>88</v>
      </c>
      <c r="C37" s="251">
        <f>'от продуктов (МРОТ)'!C37</f>
        <v>21.996261503999996</v>
      </c>
      <c r="D37" s="252">
        <v>18.416159999999998</v>
      </c>
      <c r="E37" s="252" t="s">
        <v>12</v>
      </c>
      <c r="F37" s="257">
        <v>6</v>
      </c>
      <c r="G37" s="252" t="s">
        <v>12</v>
      </c>
      <c r="H37" s="252" t="s">
        <v>13</v>
      </c>
      <c r="I37" s="251" t="e">
        <f>E37*0.004</f>
        <v>#VALUE!</v>
      </c>
      <c r="J37" s="251">
        <f t="shared" si="0"/>
        <v>0.13197756902399999</v>
      </c>
      <c r="K37" s="245"/>
    </row>
    <row r="38" spans="1:11" ht="15.75" x14ac:dyDescent="0.25">
      <c r="A38" s="245"/>
      <c r="B38" s="245"/>
      <c r="C38" s="245"/>
      <c r="D38" s="245"/>
      <c r="E38" s="245"/>
      <c r="F38" s="245"/>
      <c r="G38" s="245"/>
      <c r="H38" s="245"/>
      <c r="I38" s="258" t="e">
        <f>SUM(I8:I37)</f>
        <v>#VALUE!</v>
      </c>
      <c r="J38" s="258">
        <f>SUM(J8:J37)</f>
        <v>206.71104856389127</v>
      </c>
      <c r="K38" s="245"/>
    </row>
  </sheetData>
  <mergeCells count="6">
    <mergeCell ref="J3:J7"/>
    <mergeCell ref="A3:A7"/>
    <mergeCell ref="B5:B7"/>
    <mergeCell ref="B3:D4"/>
    <mergeCell ref="D6:D7"/>
    <mergeCell ref="C6:C7"/>
  </mergeCells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="85" zoomScaleNormal="100" zoomScaleSheetLayoutView="85" workbookViewId="0">
      <selection activeCell="K3" sqref="K3"/>
    </sheetView>
  </sheetViews>
  <sheetFormatPr defaultColWidth="8.85546875" defaultRowHeight="15" x14ac:dyDescent="0.25"/>
  <cols>
    <col min="1" max="1" width="42.85546875" style="242" customWidth="1"/>
    <col min="2" max="6" width="10.85546875" style="242" customWidth="1"/>
    <col min="7" max="9" width="7.7109375" style="242" hidden="1" customWidth="1"/>
    <col min="10" max="10" width="12.5703125" style="242" customWidth="1"/>
    <col min="11" max="11" width="22.42578125" style="242" customWidth="1"/>
    <col min="12" max="16384" width="8.85546875" style="242"/>
  </cols>
  <sheetData>
    <row r="1" spans="1:11" x14ac:dyDescent="0.25">
      <c r="A1" s="242" t="s">
        <v>257</v>
      </c>
      <c r="F1" s="243"/>
      <c r="K1" s="244">
        <f>8.6</f>
        <v>8.6</v>
      </c>
    </row>
    <row r="2" spans="1:11" ht="15.75" x14ac:dyDescent="0.25">
      <c r="A2" s="247"/>
      <c r="B2" s="247"/>
      <c r="C2" s="247"/>
      <c r="D2" s="247"/>
      <c r="E2" s="247"/>
      <c r="F2" s="247"/>
      <c r="G2" s="247"/>
      <c r="H2" s="247"/>
      <c r="I2" s="245"/>
      <c r="J2" s="245"/>
      <c r="K2" s="246">
        <v>0.19439999999999999</v>
      </c>
    </row>
    <row r="3" spans="1:11" ht="19.5" customHeight="1" x14ac:dyDescent="0.25">
      <c r="A3" s="297" t="s">
        <v>0</v>
      </c>
      <c r="B3" s="298" t="s">
        <v>85</v>
      </c>
      <c r="C3" s="298"/>
      <c r="D3" s="298"/>
      <c r="E3" s="259"/>
      <c r="F3" s="259"/>
      <c r="G3" s="259"/>
      <c r="H3" s="260"/>
      <c r="I3" s="248"/>
      <c r="J3" s="296" t="s">
        <v>190</v>
      </c>
      <c r="K3" s="245"/>
    </row>
    <row r="4" spans="1:11" ht="15" customHeight="1" x14ac:dyDescent="0.25">
      <c r="A4" s="297"/>
      <c r="B4" s="298"/>
      <c r="C4" s="298"/>
      <c r="D4" s="298"/>
      <c r="E4" s="261" t="s">
        <v>225</v>
      </c>
      <c r="F4" s="261"/>
      <c r="G4" s="261"/>
      <c r="H4" s="262"/>
      <c r="I4" s="248"/>
      <c r="J4" s="296"/>
      <c r="K4" s="245"/>
    </row>
    <row r="5" spans="1:11" ht="13.9" customHeight="1" x14ac:dyDescent="0.25">
      <c r="A5" s="297"/>
      <c r="B5" s="298" t="s">
        <v>86</v>
      </c>
      <c r="C5" s="265">
        <v>2022</v>
      </c>
      <c r="D5" s="266">
        <v>2021</v>
      </c>
      <c r="E5" s="261"/>
      <c r="F5" s="261"/>
      <c r="G5" s="261"/>
      <c r="H5" s="262"/>
      <c r="I5" s="248"/>
      <c r="J5" s="296"/>
      <c r="K5" s="245"/>
    </row>
    <row r="6" spans="1:11" ht="29.45" customHeight="1" x14ac:dyDescent="0.25">
      <c r="A6" s="297"/>
      <c r="B6" s="298"/>
      <c r="C6" s="299" t="s">
        <v>84</v>
      </c>
      <c r="D6" s="299" t="s">
        <v>84</v>
      </c>
      <c r="E6" s="261"/>
      <c r="F6" s="261"/>
      <c r="G6" s="261"/>
      <c r="H6" s="262"/>
      <c r="I6" s="248"/>
      <c r="J6" s="296"/>
      <c r="K6" s="245"/>
    </row>
    <row r="7" spans="1:11" ht="15.75" customHeight="1" x14ac:dyDescent="0.25">
      <c r="A7" s="297"/>
      <c r="B7" s="298"/>
      <c r="C7" s="300"/>
      <c r="D7" s="300"/>
      <c r="E7" s="263"/>
      <c r="F7" s="263"/>
      <c r="G7" s="263"/>
      <c r="H7" s="264"/>
      <c r="I7" s="248"/>
      <c r="J7" s="296"/>
      <c r="K7" s="245"/>
    </row>
    <row r="8" spans="1:11" ht="29.25" customHeight="1" x14ac:dyDescent="0.25">
      <c r="A8" s="249" t="s">
        <v>1</v>
      </c>
      <c r="B8" s="250" t="s">
        <v>87</v>
      </c>
      <c r="C8" s="251">
        <f>D8*$K$2+D8</f>
        <v>66.232585439999994</v>
      </c>
      <c r="D8" s="252">
        <v>55.452599999999997</v>
      </c>
      <c r="E8" s="252" t="s">
        <v>2</v>
      </c>
      <c r="F8" s="253">
        <v>450</v>
      </c>
      <c r="G8" s="252" t="s">
        <v>2</v>
      </c>
      <c r="H8" s="252" t="s">
        <v>3</v>
      </c>
      <c r="I8" s="251" t="e">
        <f>E8*0.39</f>
        <v>#VALUE!</v>
      </c>
      <c r="J8" s="251">
        <f>C8*F8/1000</f>
        <v>29.804663447999996</v>
      </c>
      <c r="K8" s="245"/>
    </row>
    <row r="9" spans="1:11" ht="29.25" customHeight="1" x14ac:dyDescent="0.25">
      <c r="A9" s="249" t="s">
        <v>4</v>
      </c>
      <c r="B9" s="250" t="s">
        <v>88</v>
      </c>
      <c r="C9" s="251">
        <f t="shared" ref="C9:C37" si="0">D9*$K$2+D9</f>
        <v>399.27819758400005</v>
      </c>
      <c r="D9" s="252">
        <v>334.29186000000004</v>
      </c>
      <c r="E9" s="252" t="s">
        <v>5</v>
      </c>
      <c r="F9" s="252">
        <v>40</v>
      </c>
      <c r="G9" s="252" t="s">
        <v>5</v>
      </c>
      <c r="H9" s="252" t="s">
        <v>6</v>
      </c>
      <c r="I9" s="251" t="e">
        <f>E9*0.03</f>
        <v>#VALUE!</v>
      </c>
      <c r="J9" s="251">
        <f>C9*F9/1000</f>
        <v>15.971127903360003</v>
      </c>
      <c r="K9" s="245"/>
    </row>
    <row r="10" spans="1:11" ht="17.25" customHeight="1" x14ac:dyDescent="0.25">
      <c r="A10" s="249" t="s">
        <v>7</v>
      </c>
      <c r="B10" s="250" t="s">
        <v>88</v>
      </c>
      <c r="C10" s="251">
        <f t="shared" si="0"/>
        <v>400.41593524799998</v>
      </c>
      <c r="D10" s="252">
        <v>335.24441999999999</v>
      </c>
      <c r="E10" s="252" t="s">
        <v>8</v>
      </c>
      <c r="F10" s="252">
        <v>11</v>
      </c>
      <c r="G10" s="252" t="s">
        <v>8</v>
      </c>
      <c r="H10" s="252" t="s">
        <v>9</v>
      </c>
      <c r="I10" s="251" t="e">
        <f>E10*0.009</f>
        <v>#VALUE!</v>
      </c>
      <c r="J10" s="251">
        <f>C10*F10/1000</f>
        <v>4.404575287728</v>
      </c>
      <c r="K10" s="245"/>
    </row>
    <row r="11" spans="1:11" ht="17.25" customHeight="1" x14ac:dyDescent="0.25">
      <c r="A11" s="249" t="s">
        <v>10</v>
      </c>
      <c r="B11" s="250" t="s">
        <v>88</v>
      </c>
      <c r="C11" s="251">
        <f t="shared" si="0"/>
        <v>777.45407040000009</v>
      </c>
      <c r="D11" s="252">
        <v>650.91600000000005</v>
      </c>
      <c r="E11" s="252" t="s">
        <v>11</v>
      </c>
      <c r="F11" s="252">
        <v>6.4</v>
      </c>
      <c r="G11" s="252" t="s">
        <v>12</v>
      </c>
      <c r="H11" s="252" t="s">
        <v>13</v>
      </c>
      <c r="I11" s="251" t="e">
        <f>E11*0.0043</f>
        <v>#VALUE!</v>
      </c>
      <c r="J11" s="251">
        <f>C11*F11/1000</f>
        <v>4.9757060505600013</v>
      </c>
      <c r="K11" s="245"/>
    </row>
    <row r="12" spans="1:11" ht="17.25" customHeight="1" x14ac:dyDescent="0.25">
      <c r="A12" s="249" t="s">
        <v>89</v>
      </c>
      <c r="B12" s="250" t="s">
        <v>88</v>
      </c>
      <c r="C12" s="251">
        <f t="shared" si="0"/>
        <v>352.15689600000002</v>
      </c>
      <c r="D12" s="252">
        <v>294.84000000000003</v>
      </c>
      <c r="E12" s="252" t="s">
        <v>14</v>
      </c>
      <c r="F12" s="252">
        <v>75</v>
      </c>
      <c r="G12" s="252" t="s">
        <v>15</v>
      </c>
      <c r="H12" s="252" t="s">
        <v>16</v>
      </c>
      <c r="I12" s="251" t="e">
        <f>E12*0.068</f>
        <v>#VALUE!</v>
      </c>
      <c r="J12" s="251">
        <f>C12*F12/1000</f>
        <v>26.411767200000003</v>
      </c>
      <c r="K12" s="245"/>
    </row>
    <row r="13" spans="1:11" ht="34.5" customHeight="1" x14ac:dyDescent="0.25">
      <c r="A13" s="249" t="s">
        <v>17</v>
      </c>
      <c r="B13" s="250" t="s">
        <v>88</v>
      </c>
      <c r="C13" s="251">
        <f t="shared" si="0"/>
        <v>230.25643199999999</v>
      </c>
      <c r="D13" s="252">
        <v>192.78</v>
      </c>
      <c r="E13" s="252" t="s">
        <v>18</v>
      </c>
      <c r="F13" s="252" t="s">
        <v>268</v>
      </c>
      <c r="G13" s="252" t="s">
        <v>19</v>
      </c>
      <c r="H13" s="252" t="s">
        <v>20</v>
      </c>
      <c r="I13" s="251" t="e">
        <f>E13*0.023</f>
        <v>#VALUE!</v>
      </c>
      <c r="J13" s="251">
        <f>C13*0.027</f>
        <v>6.2169236639999994</v>
      </c>
      <c r="K13" s="254"/>
    </row>
    <row r="14" spans="1:11" ht="34.5" customHeight="1" x14ac:dyDescent="0.25">
      <c r="A14" s="249" t="s">
        <v>21</v>
      </c>
      <c r="B14" s="250" t="s">
        <v>88</v>
      </c>
      <c r="C14" s="251">
        <f t="shared" si="0"/>
        <v>157.617299952</v>
      </c>
      <c r="D14" s="252">
        <v>131.96358000000001</v>
      </c>
      <c r="E14" s="252" t="s">
        <v>22</v>
      </c>
      <c r="F14" s="252">
        <v>39</v>
      </c>
      <c r="G14" s="252" t="s">
        <v>23</v>
      </c>
      <c r="H14" s="252" t="s">
        <v>24</v>
      </c>
      <c r="I14" s="251" t="e">
        <f>E14*0.034</f>
        <v>#VALUE!</v>
      </c>
      <c r="J14" s="251">
        <f>C14*F14/1000</f>
        <v>6.1470746981279998</v>
      </c>
      <c r="K14" s="254"/>
    </row>
    <row r="15" spans="1:11" ht="17.25" customHeight="1" x14ac:dyDescent="0.25">
      <c r="A15" s="249" t="s">
        <v>25</v>
      </c>
      <c r="B15" s="250" t="s">
        <v>88</v>
      </c>
      <c r="C15" s="251">
        <f t="shared" si="0"/>
        <v>474.66686232000001</v>
      </c>
      <c r="D15" s="252">
        <v>397.41030000000001</v>
      </c>
      <c r="E15" s="252" t="s">
        <v>26</v>
      </c>
      <c r="F15" s="252">
        <v>7</v>
      </c>
      <c r="G15" s="252" t="s">
        <v>26</v>
      </c>
      <c r="H15" s="252" t="s">
        <v>28</v>
      </c>
      <c r="I15" s="251">
        <v>0</v>
      </c>
      <c r="J15" s="251">
        <f>C15*F15/1000</f>
        <v>3.3226680362400001</v>
      </c>
      <c r="K15" s="254"/>
    </row>
    <row r="16" spans="1:11" ht="17.25" customHeight="1" x14ac:dyDescent="0.25">
      <c r="A16" s="249" t="s">
        <v>29</v>
      </c>
      <c r="B16" s="250" t="s">
        <v>90</v>
      </c>
      <c r="C16" s="251">
        <f t="shared" si="0"/>
        <v>9.8874820799999998</v>
      </c>
      <c r="D16" s="250">
        <v>8.2782</v>
      </c>
      <c r="E16" s="250" t="s">
        <v>30</v>
      </c>
      <c r="F16" s="250">
        <v>0.6</v>
      </c>
      <c r="G16" s="250" t="s">
        <v>19</v>
      </c>
      <c r="H16" s="250" t="s">
        <v>20</v>
      </c>
      <c r="I16" s="251">
        <v>3.26</v>
      </c>
      <c r="J16" s="251">
        <f>C16*F16</f>
        <v>5.9324892479999995</v>
      </c>
      <c r="K16" s="254"/>
    </row>
    <row r="17" spans="1:11" ht="17.25" customHeight="1" x14ac:dyDescent="0.25">
      <c r="A17" s="249" t="s">
        <v>91</v>
      </c>
      <c r="B17" s="250" t="s">
        <v>88</v>
      </c>
      <c r="C17" s="251">
        <f t="shared" si="0"/>
        <v>26.885824560000003</v>
      </c>
      <c r="D17" s="252">
        <v>22.509900000000002</v>
      </c>
      <c r="E17" s="252" t="s">
        <v>31</v>
      </c>
      <c r="F17" s="252">
        <v>187</v>
      </c>
      <c r="G17" s="252" t="s">
        <v>32</v>
      </c>
      <c r="H17" s="252" t="s">
        <v>33</v>
      </c>
      <c r="I17" s="251" t="e">
        <f>E17*0.16</f>
        <v>#VALUE!</v>
      </c>
      <c r="J17" s="251">
        <f>C17*F17/1000</f>
        <v>5.0276491927200002</v>
      </c>
      <c r="K17" s="254"/>
    </row>
    <row r="18" spans="1:11" ht="17.25" customHeight="1" x14ac:dyDescent="0.25">
      <c r="A18" s="249" t="s">
        <v>92</v>
      </c>
      <c r="B18" s="250" t="s">
        <v>88</v>
      </c>
      <c r="C18" s="251">
        <f t="shared" si="0"/>
        <v>60.408452159999996</v>
      </c>
      <c r="D18" s="252">
        <v>50.5764</v>
      </c>
      <c r="E18" s="252" t="s">
        <v>34</v>
      </c>
      <c r="F18" s="252">
        <v>325</v>
      </c>
      <c r="G18" s="252" t="s">
        <v>35</v>
      </c>
      <c r="H18" s="252" t="s">
        <v>36</v>
      </c>
      <c r="I18" s="251" t="e">
        <f>E18*0.256</f>
        <v>#VALUE!</v>
      </c>
      <c r="J18" s="251">
        <f>C18*F18/1000</f>
        <v>19.632746951999998</v>
      </c>
      <c r="K18" s="254"/>
    </row>
    <row r="19" spans="1:11" ht="17.25" customHeight="1" x14ac:dyDescent="0.25">
      <c r="A19" s="249" t="s">
        <v>37</v>
      </c>
      <c r="B19" s="250" t="s">
        <v>88</v>
      </c>
      <c r="C19" s="251">
        <f t="shared" si="0"/>
        <v>162.533952</v>
      </c>
      <c r="D19" s="252">
        <v>136.08000000000001</v>
      </c>
      <c r="E19" s="252" t="s">
        <v>38</v>
      </c>
      <c r="F19" s="252">
        <v>114</v>
      </c>
      <c r="G19" s="252" t="s">
        <v>39</v>
      </c>
      <c r="H19" s="252" t="s">
        <v>40</v>
      </c>
      <c r="I19" s="251" t="e">
        <f>E19*0.108</f>
        <v>#VALUE!</v>
      </c>
      <c r="J19" s="251">
        <f>C19*F19/1000</f>
        <v>18.528870527999999</v>
      </c>
      <c r="K19" s="254"/>
    </row>
    <row r="20" spans="1:11" ht="17.25" customHeight="1" x14ac:dyDescent="0.25">
      <c r="A20" s="249" t="s">
        <v>41</v>
      </c>
      <c r="B20" s="250" t="s">
        <v>88</v>
      </c>
      <c r="C20" s="251">
        <f t="shared" si="0"/>
        <v>281.72551680000004</v>
      </c>
      <c r="D20" s="252">
        <v>235.87200000000001</v>
      </c>
      <c r="E20" s="252" t="s">
        <v>8</v>
      </c>
      <c r="F20" s="252">
        <v>11</v>
      </c>
      <c r="G20" s="252" t="s">
        <v>8</v>
      </c>
      <c r="H20" s="252" t="s">
        <v>9</v>
      </c>
      <c r="I20" s="251" t="e">
        <f>E20*0.009</f>
        <v>#VALUE!</v>
      </c>
      <c r="J20" s="251">
        <f>C20*F20/1000</f>
        <v>3.0989806848000003</v>
      </c>
      <c r="K20" s="255"/>
    </row>
    <row r="21" spans="1:11" ht="17.25" customHeight="1" x14ac:dyDescent="0.25">
      <c r="A21" s="249" t="s">
        <v>42</v>
      </c>
      <c r="B21" s="250" t="s">
        <v>93</v>
      </c>
      <c r="C21" s="251">
        <f t="shared" si="0"/>
        <v>109.16863776</v>
      </c>
      <c r="D21" s="252">
        <v>91.400399999999991</v>
      </c>
      <c r="E21" s="252" t="s">
        <v>40</v>
      </c>
      <c r="F21" s="252">
        <v>100</v>
      </c>
      <c r="G21" s="252" t="s">
        <v>40</v>
      </c>
      <c r="H21" s="252" t="s">
        <v>40</v>
      </c>
      <c r="I21" s="251" t="e">
        <f>E21*0.1</f>
        <v>#VALUE!</v>
      </c>
      <c r="J21" s="251">
        <f>C21*F21/1000</f>
        <v>10.916863776</v>
      </c>
      <c r="K21" s="245"/>
    </row>
    <row r="22" spans="1:11" ht="27.75" customHeight="1" x14ac:dyDescent="0.25">
      <c r="A22" s="256" t="s">
        <v>43</v>
      </c>
      <c r="B22" s="250"/>
      <c r="C22" s="251">
        <f t="shared" si="0"/>
        <v>0</v>
      </c>
      <c r="D22" s="252">
        <v>0</v>
      </c>
      <c r="E22" s="252" t="s">
        <v>26</v>
      </c>
      <c r="F22" s="252">
        <v>0</v>
      </c>
      <c r="G22" s="252" t="s">
        <v>26</v>
      </c>
      <c r="H22" s="252" t="s">
        <v>15</v>
      </c>
      <c r="I22" s="251"/>
      <c r="J22" s="251">
        <v>0</v>
      </c>
      <c r="K22" s="245"/>
    </row>
    <row r="23" spans="1:11" ht="17.25" customHeight="1" x14ac:dyDescent="0.25">
      <c r="A23" s="249" t="s">
        <v>44</v>
      </c>
      <c r="B23" s="250" t="s">
        <v>88</v>
      </c>
      <c r="C23" s="251">
        <f t="shared" si="0"/>
        <v>74.535361488000007</v>
      </c>
      <c r="D23" s="252">
        <v>62.404020000000003</v>
      </c>
      <c r="E23" s="252" t="s">
        <v>6</v>
      </c>
      <c r="F23" s="252">
        <v>50</v>
      </c>
      <c r="G23" s="252" t="s">
        <v>6</v>
      </c>
      <c r="H23" s="252" t="s">
        <v>15</v>
      </c>
      <c r="I23" s="251" t="e">
        <f>E23*0.04</f>
        <v>#VALUE!</v>
      </c>
      <c r="J23" s="251">
        <f t="shared" ref="J23:J37" si="1">C23*F23/1000</f>
        <v>3.7267680744000002</v>
      </c>
      <c r="K23" s="245"/>
    </row>
    <row r="24" spans="1:11" ht="17.25" customHeight="1" x14ac:dyDescent="0.25">
      <c r="A24" s="249" t="s">
        <v>45</v>
      </c>
      <c r="B24" s="250" t="s">
        <v>88</v>
      </c>
      <c r="C24" s="251">
        <f t="shared" si="0"/>
        <v>98.333040959999977</v>
      </c>
      <c r="D24" s="252">
        <v>82.328399999999988</v>
      </c>
      <c r="E24" s="252" t="s">
        <v>46</v>
      </c>
      <c r="F24" s="252">
        <v>80</v>
      </c>
      <c r="G24" s="252" t="s">
        <v>46</v>
      </c>
      <c r="H24" s="252" t="s">
        <v>47</v>
      </c>
      <c r="I24" s="251" t="e">
        <f>E24*0.06</f>
        <v>#VALUE!</v>
      </c>
      <c r="J24" s="251">
        <f t="shared" si="1"/>
        <v>7.8666432767999979</v>
      </c>
      <c r="K24" s="245"/>
    </row>
    <row r="25" spans="1:11" ht="17.25" customHeight="1" x14ac:dyDescent="0.25">
      <c r="A25" s="249" t="s">
        <v>48</v>
      </c>
      <c r="B25" s="250" t="s">
        <v>88</v>
      </c>
      <c r="C25" s="251">
        <f t="shared" si="0"/>
        <v>48.949808544</v>
      </c>
      <c r="D25" s="252">
        <v>40.982759999999999</v>
      </c>
      <c r="E25" s="252" t="s">
        <v>5</v>
      </c>
      <c r="F25" s="252">
        <v>43</v>
      </c>
      <c r="G25" s="252" t="s">
        <v>5</v>
      </c>
      <c r="H25" s="252" t="s">
        <v>49</v>
      </c>
      <c r="I25" s="251" t="e">
        <f>E25*0.03</f>
        <v>#VALUE!</v>
      </c>
      <c r="J25" s="251">
        <f t="shared" si="1"/>
        <v>2.1048417673919997</v>
      </c>
      <c r="K25" s="245"/>
    </row>
    <row r="26" spans="1:11" ht="17.25" customHeight="1" x14ac:dyDescent="0.25">
      <c r="A26" s="249" t="s">
        <v>50</v>
      </c>
      <c r="B26" s="250" t="s">
        <v>88</v>
      </c>
      <c r="C26" s="251">
        <f t="shared" si="0"/>
        <v>72.327608639999994</v>
      </c>
      <c r="D26" s="252">
        <v>60.555599999999998</v>
      </c>
      <c r="E26" s="252" t="s">
        <v>51</v>
      </c>
      <c r="F26" s="252">
        <v>12</v>
      </c>
      <c r="G26" s="252" t="s">
        <v>51</v>
      </c>
      <c r="H26" s="252" t="s">
        <v>52</v>
      </c>
      <c r="I26" s="251" t="e">
        <f>E26*0.008</f>
        <v>#VALUE!</v>
      </c>
      <c r="J26" s="251">
        <f t="shared" si="1"/>
        <v>0.86793130367999993</v>
      </c>
      <c r="K26" s="245"/>
    </row>
    <row r="27" spans="1:11" ht="17.25" customHeight="1" x14ac:dyDescent="0.25">
      <c r="A27" s="249" t="s">
        <v>53</v>
      </c>
      <c r="B27" s="250" t="s">
        <v>88</v>
      </c>
      <c r="C27" s="251">
        <f t="shared" si="0"/>
        <v>42.814151855999995</v>
      </c>
      <c r="D27" s="252">
        <v>35.845739999999999</v>
      </c>
      <c r="E27" s="252" t="s">
        <v>54</v>
      </c>
      <c r="F27" s="252">
        <v>29</v>
      </c>
      <c r="G27" s="252" t="s">
        <v>54</v>
      </c>
      <c r="H27" s="252" t="s">
        <v>55</v>
      </c>
      <c r="I27" s="251" t="e">
        <f>E27*0.025</f>
        <v>#VALUE!</v>
      </c>
      <c r="J27" s="251">
        <f t="shared" si="1"/>
        <v>1.2416104038239999</v>
      </c>
      <c r="K27" s="245"/>
    </row>
    <row r="28" spans="1:11" ht="17.25" customHeight="1" x14ac:dyDescent="0.25">
      <c r="A28" s="249" t="s">
        <v>56</v>
      </c>
      <c r="B28" s="250" t="s">
        <v>88</v>
      </c>
      <c r="C28" s="251">
        <f t="shared" si="0"/>
        <v>880.39224000000002</v>
      </c>
      <c r="D28" s="252">
        <v>737.1</v>
      </c>
      <c r="E28" s="252" t="s">
        <v>57</v>
      </c>
      <c r="F28" s="252">
        <v>21</v>
      </c>
      <c r="G28" s="252" t="s">
        <v>57</v>
      </c>
      <c r="H28" s="252" t="s">
        <v>58</v>
      </c>
      <c r="I28" s="251" t="e">
        <f>E28*0.018</f>
        <v>#VALUE!</v>
      </c>
      <c r="J28" s="251">
        <f t="shared" si="1"/>
        <v>18.488237040000001</v>
      </c>
      <c r="K28" s="245"/>
    </row>
    <row r="29" spans="1:11" ht="17.25" customHeight="1" x14ac:dyDescent="0.25">
      <c r="A29" s="249" t="s">
        <v>59</v>
      </c>
      <c r="B29" s="250" t="s">
        <v>88</v>
      </c>
      <c r="C29" s="251">
        <f t="shared" si="0"/>
        <v>127.75168627199999</v>
      </c>
      <c r="D29" s="252">
        <v>106.95887999999999</v>
      </c>
      <c r="E29" s="252" t="s">
        <v>8</v>
      </c>
      <c r="F29" s="252">
        <v>11</v>
      </c>
      <c r="G29" s="252" t="s">
        <v>8</v>
      </c>
      <c r="H29" s="252" t="s">
        <v>9</v>
      </c>
      <c r="I29" s="251" t="e">
        <f>E29*0.009</f>
        <v>#VALUE!</v>
      </c>
      <c r="J29" s="251">
        <f t="shared" si="1"/>
        <v>1.4052685489919998</v>
      </c>
      <c r="K29" s="245"/>
    </row>
    <row r="30" spans="1:11" ht="17.25" customHeight="1" x14ac:dyDescent="0.25">
      <c r="A30" s="249" t="s">
        <v>94</v>
      </c>
      <c r="B30" s="250" t="s">
        <v>88</v>
      </c>
      <c r="C30" s="251">
        <f t="shared" si="0"/>
        <v>214.13848175999999</v>
      </c>
      <c r="D30" s="252">
        <v>179.28539999999998</v>
      </c>
      <c r="E30" s="252" t="s">
        <v>27</v>
      </c>
      <c r="F30" s="252">
        <v>20</v>
      </c>
      <c r="G30" s="252" t="s">
        <v>27</v>
      </c>
      <c r="H30" s="252" t="s">
        <v>19</v>
      </c>
      <c r="I30" s="251" t="e">
        <f>E30*0.007</f>
        <v>#VALUE!</v>
      </c>
      <c r="J30" s="251">
        <f t="shared" si="1"/>
        <v>4.2827696352000002</v>
      </c>
      <c r="K30" s="245"/>
    </row>
    <row r="31" spans="1:11" ht="17.25" customHeight="1" x14ac:dyDescent="0.25">
      <c r="A31" s="249" t="s">
        <v>60</v>
      </c>
      <c r="B31" s="250" t="s">
        <v>88</v>
      </c>
      <c r="C31" s="251">
        <f t="shared" si="0"/>
        <v>761.97271147200001</v>
      </c>
      <c r="D31" s="252">
        <v>637.95438000000001</v>
      </c>
      <c r="E31" s="252" t="s">
        <v>61</v>
      </c>
      <c r="F31" s="252">
        <v>0.6</v>
      </c>
      <c r="G31" s="252" t="s">
        <v>61</v>
      </c>
      <c r="H31" s="252" t="s">
        <v>62</v>
      </c>
      <c r="I31" s="251" t="e">
        <f>E31*0.0005</f>
        <v>#VALUE!</v>
      </c>
      <c r="J31" s="251">
        <f t="shared" si="1"/>
        <v>0.45718362688320002</v>
      </c>
      <c r="K31" s="245"/>
    </row>
    <row r="32" spans="1:11" ht="17.25" customHeight="1" x14ac:dyDescent="0.25">
      <c r="A32" s="249" t="s">
        <v>63</v>
      </c>
      <c r="B32" s="250" t="s">
        <v>88</v>
      </c>
      <c r="C32" s="251">
        <f t="shared" si="0"/>
        <v>963.01366559999997</v>
      </c>
      <c r="D32" s="252">
        <v>806.274</v>
      </c>
      <c r="E32" s="252" t="s">
        <v>61</v>
      </c>
      <c r="F32" s="252">
        <v>0.6</v>
      </c>
      <c r="G32" s="252" t="s">
        <v>61</v>
      </c>
      <c r="H32" s="252" t="s">
        <v>62</v>
      </c>
      <c r="I32" s="251" t="e">
        <f>E32*0.0005</f>
        <v>#VALUE!</v>
      </c>
      <c r="J32" s="251">
        <f t="shared" si="1"/>
        <v>0.57780819936000005</v>
      </c>
      <c r="K32" s="255"/>
    </row>
    <row r="33" spans="1:11" ht="17.25" customHeight="1" x14ac:dyDescent="0.25">
      <c r="A33" s="249" t="s">
        <v>95</v>
      </c>
      <c r="B33" s="250" t="s">
        <v>88</v>
      </c>
      <c r="C33" s="251">
        <f t="shared" si="0"/>
        <v>609.50232000000005</v>
      </c>
      <c r="D33" s="252">
        <v>510.3</v>
      </c>
      <c r="E33" s="252" t="s">
        <v>64</v>
      </c>
      <c r="F33" s="252">
        <v>1.2</v>
      </c>
      <c r="G33" s="252" t="s">
        <v>64</v>
      </c>
      <c r="H33" s="252" t="s">
        <v>65</v>
      </c>
      <c r="I33" s="251" t="e">
        <f>E33*0.001</f>
        <v>#VALUE!</v>
      </c>
      <c r="J33" s="251">
        <f t="shared" si="1"/>
        <v>0.73140278400000003</v>
      </c>
      <c r="K33" s="255"/>
    </row>
    <row r="34" spans="1:11" ht="17.25" customHeight="1" x14ac:dyDescent="0.25">
      <c r="A34" s="249" t="s">
        <v>66</v>
      </c>
      <c r="B34" s="250" t="s">
        <v>88</v>
      </c>
      <c r="C34" s="251">
        <f t="shared" si="0"/>
        <v>60.950232</v>
      </c>
      <c r="D34" s="252">
        <v>51.03</v>
      </c>
      <c r="E34" s="252" t="s">
        <v>24</v>
      </c>
      <c r="F34" s="252">
        <v>47</v>
      </c>
      <c r="G34" s="252" t="s">
        <v>24</v>
      </c>
      <c r="H34" s="252" t="s">
        <v>67</v>
      </c>
      <c r="I34" s="251" t="e">
        <f>E34*0.037</f>
        <v>#VALUE!</v>
      </c>
      <c r="J34" s="251">
        <f t="shared" si="1"/>
        <v>2.864660904</v>
      </c>
      <c r="K34" s="245"/>
    </row>
    <row r="35" spans="1:11" ht="17.25" customHeight="1" x14ac:dyDescent="0.25">
      <c r="A35" s="249" t="s">
        <v>68</v>
      </c>
      <c r="B35" s="250" t="s">
        <v>88</v>
      </c>
      <c r="C35" s="251">
        <f t="shared" si="0"/>
        <v>758.49177599999996</v>
      </c>
      <c r="D35" s="252">
        <v>635.04</v>
      </c>
      <c r="E35" s="252" t="s">
        <v>69</v>
      </c>
      <c r="F35" s="252">
        <v>0.5</v>
      </c>
      <c r="G35" s="252" t="s">
        <v>69</v>
      </c>
      <c r="H35" s="252" t="s">
        <v>61</v>
      </c>
      <c r="I35" s="251" t="e">
        <f>E35*0.0004</f>
        <v>#VALUE!</v>
      </c>
      <c r="J35" s="251">
        <f t="shared" si="1"/>
        <v>0.37924588799999998</v>
      </c>
      <c r="K35" s="255"/>
    </row>
    <row r="36" spans="1:11" ht="17.25" customHeight="1" x14ac:dyDescent="0.25">
      <c r="A36" s="256" t="s">
        <v>70</v>
      </c>
      <c r="B36" s="250" t="s">
        <v>88</v>
      </c>
      <c r="C36" s="251">
        <f t="shared" si="0"/>
        <v>397.53095760000002</v>
      </c>
      <c r="D36" s="252">
        <v>332.82900000000001</v>
      </c>
      <c r="E36" s="252" t="s">
        <v>71</v>
      </c>
      <c r="F36" s="252">
        <v>3</v>
      </c>
      <c r="G36" s="252" t="s">
        <v>71</v>
      </c>
      <c r="H36" s="252" t="s">
        <v>72</v>
      </c>
      <c r="I36" s="251" t="e">
        <f>E36*0.002</f>
        <v>#VALUE!</v>
      </c>
      <c r="J36" s="251">
        <f t="shared" si="1"/>
        <v>1.1925928728000001</v>
      </c>
      <c r="K36" s="245"/>
    </row>
    <row r="37" spans="1:11" ht="17.25" customHeight="1" thickBot="1" x14ac:dyDescent="0.3">
      <c r="A37" s="249" t="s">
        <v>73</v>
      </c>
      <c r="B37" s="250" t="s">
        <v>88</v>
      </c>
      <c r="C37" s="251">
        <f t="shared" si="0"/>
        <v>21.996261503999996</v>
      </c>
      <c r="D37" s="252">
        <v>18.416159999999998</v>
      </c>
      <c r="E37" s="252" t="s">
        <v>12</v>
      </c>
      <c r="F37" s="257">
        <v>6</v>
      </c>
      <c r="G37" s="252" t="s">
        <v>12</v>
      </c>
      <c r="H37" s="252" t="s">
        <v>13</v>
      </c>
      <c r="I37" s="251" t="e">
        <f>E37*0.004</f>
        <v>#VALUE!</v>
      </c>
      <c r="J37" s="251">
        <f t="shared" si="1"/>
        <v>0.13197756902399999</v>
      </c>
      <c r="K37" s="245"/>
    </row>
    <row r="38" spans="1:11" ht="15.75" x14ac:dyDescent="0.25">
      <c r="A38" s="245"/>
      <c r="B38" s="245"/>
      <c r="C38" s="245"/>
      <c r="D38" s="245"/>
      <c r="E38" s="245"/>
      <c r="F38" s="245"/>
      <c r="G38" s="245"/>
      <c r="H38" s="245"/>
      <c r="I38" s="258" t="e">
        <f>SUM(I8:I37)</f>
        <v>#VALUE!</v>
      </c>
      <c r="J38" s="258">
        <f>SUM(J8:J37)</f>
        <v>206.71104856389127</v>
      </c>
      <c r="K38" s="245"/>
    </row>
  </sheetData>
  <mergeCells count="6">
    <mergeCell ref="A3:A7"/>
    <mergeCell ref="B3:D4"/>
    <mergeCell ref="J3:J7"/>
    <mergeCell ref="B5:B7"/>
    <mergeCell ref="C6:C7"/>
    <mergeCell ref="D6:D7"/>
  </mergeCells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zoomScale="80" zoomScaleNormal="80" zoomScaleSheetLayoutView="130" workbookViewId="0">
      <selection activeCell="P16" sqref="P16"/>
    </sheetView>
  </sheetViews>
  <sheetFormatPr defaultColWidth="9.140625" defaultRowHeight="12.75" x14ac:dyDescent="0.2"/>
  <cols>
    <col min="1" max="1" width="9.140625" style="1"/>
    <col min="2" max="2" width="25.85546875" style="1" customWidth="1"/>
    <col min="3" max="3" width="11.85546875" style="1" customWidth="1"/>
    <col min="4" max="6" width="9.140625" style="1" customWidth="1"/>
    <col min="7" max="7" width="10.140625" style="1" customWidth="1"/>
    <col min="8" max="11" width="9.140625" style="1" customWidth="1"/>
    <col min="12" max="12" width="9.5703125" style="1" customWidth="1"/>
    <col min="13" max="13" width="9.85546875" style="1" customWidth="1"/>
    <col min="14" max="15" width="9.140625" style="1" customWidth="1"/>
    <col min="16" max="16" width="17.85546875" style="1" customWidth="1"/>
    <col min="17" max="17" width="9.140625" style="1" customWidth="1"/>
    <col min="18" max="19" width="9.140625" style="1"/>
    <col min="20" max="21" width="0" style="1" hidden="1" customWidth="1"/>
    <col min="22" max="16384" width="9.140625" style="1"/>
  </cols>
  <sheetData>
    <row r="1" spans="1:21" ht="18.75" x14ac:dyDescent="0.3">
      <c r="A1" s="301" t="s">
        <v>274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</row>
    <row r="2" spans="1:21" ht="26.25" customHeight="1" x14ac:dyDescent="0.35">
      <c r="A2" s="2"/>
      <c r="B2" s="302" t="s">
        <v>97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2"/>
      <c r="Q2" s="2"/>
      <c r="R2" s="2"/>
      <c r="S2" s="2"/>
    </row>
    <row r="3" spans="1:21" ht="20.25" x14ac:dyDescent="0.35">
      <c r="A3" s="2"/>
      <c r="B3" s="303" t="s">
        <v>227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2"/>
      <c r="Q3" s="2"/>
      <c r="R3" s="2"/>
      <c r="S3" s="2"/>
    </row>
    <row r="4" spans="1:21" ht="20.25" x14ac:dyDescent="0.35">
      <c r="A4" s="2"/>
      <c r="B4" s="302" t="s">
        <v>98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2"/>
      <c r="Q4" s="2"/>
      <c r="R4" s="2"/>
      <c r="S4" s="2"/>
    </row>
    <row r="5" spans="1:21" ht="18.75" x14ac:dyDescent="0.3">
      <c r="A5" s="2"/>
      <c r="B5" s="302" t="s">
        <v>99</v>
      </c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2"/>
      <c r="Q5" s="2"/>
      <c r="R5" s="2"/>
      <c r="S5" s="2"/>
    </row>
    <row r="6" spans="1:21" ht="41.25" customHeight="1" x14ac:dyDescent="0.3">
      <c r="A6" s="2"/>
      <c r="B6" s="304" t="s">
        <v>100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</row>
    <row r="7" spans="1:21" ht="21" customHeight="1" x14ac:dyDescent="0.3">
      <c r="A7" s="2"/>
      <c r="B7" s="304" t="s">
        <v>226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</row>
    <row r="10" spans="1:21" ht="15.75" x14ac:dyDescent="0.25">
      <c r="A10" s="308" t="s">
        <v>223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</row>
    <row r="11" spans="1:21" ht="13.5" thickBot="1" x14ac:dyDescent="0.25"/>
    <row r="12" spans="1:21" ht="56.25" customHeight="1" thickBot="1" x14ac:dyDescent="0.25">
      <c r="A12" s="309" t="s">
        <v>101</v>
      </c>
      <c r="B12" s="312" t="s">
        <v>102</v>
      </c>
      <c r="C12" s="309" t="s">
        <v>103</v>
      </c>
      <c r="D12" s="315"/>
      <c r="E12" s="315"/>
      <c r="F12" s="315"/>
      <c r="G12" s="315"/>
      <c r="H12" s="315"/>
      <c r="I12" s="315"/>
      <c r="J12" s="315"/>
      <c r="K12" s="316"/>
      <c r="L12" s="317" t="s">
        <v>104</v>
      </c>
      <c r="M12" s="318"/>
      <c r="N12" s="318"/>
      <c r="O12" s="318"/>
      <c r="P12" s="318"/>
      <c r="Q12" s="319"/>
      <c r="R12" s="320" t="s">
        <v>105</v>
      </c>
      <c r="S12" s="321"/>
      <c r="T12" s="320" t="s">
        <v>106</v>
      </c>
      <c r="U12" s="321"/>
    </row>
    <row r="13" spans="1:21" ht="63.75" customHeight="1" x14ac:dyDescent="0.2">
      <c r="A13" s="310"/>
      <c r="B13" s="313"/>
      <c r="C13" s="332" t="s">
        <v>107</v>
      </c>
      <c r="D13" s="335" t="s">
        <v>108</v>
      </c>
      <c r="E13" s="335"/>
      <c r="F13" s="335"/>
      <c r="G13" s="336" t="s">
        <v>109</v>
      </c>
      <c r="H13" s="335" t="s">
        <v>110</v>
      </c>
      <c r="I13" s="335"/>
      <c r="J13" s="335"/>
      <c r="K13" s="328" t="s">
        <v>111</v>
      </c>
      <c r="L13" s="338" t="s">
        <v>112</v>
      </c>
      <c r="M13" s="305" t="s">
        <v>113</v>
      </c>
      <c r="N13" s="305" t="s">
        <v>114</v>
      </c>
      <c r="O13" s="305" t="s">
        <v>115</v>
      </c>
      <c r="P13" s="324" t="s">
        <v>116</v>
      </c>
      <c r="Q13" s="327" t="s">
        <v>117</v>
      </c>
      <c r="R13" s="322"/>
      <c r="S13" s="323"/>
      <c r="T13" s="322"/>
      <c r="U13" s="323"/>
    </row>
    <row r="14" spans="1:21" x14ac:dyDescent="0.2">
      <c r="A14" s="310"/>
      <c r="B14" s="313"/>
      <c r="C14" s="333"/>
      <c r="D14" s="330" t="s">
        <v>118</v>
      </c>
      <c r="E14" s="330" t="s">
        <v>119</v>
      </c>
      <c r="F14" s="330" t="s">
        <v>120</v>
      </c>
      <c r="G14" s="336"/>
      <c r="H14" s="330" t="s">
        <v>118</v>
      </c>
      <c r="I14" s="330" t="s">
        <v>119</v>
      </c>
      <c r="J14" s="330" t="s">
        <v>120</v>
      </c>
      <c r="K14" s="328"/>
      <c r="L14" s="339"/>
      <c r="M14" s="306"/>
      <c r="N14" s="306"/>
      <c r="O14" s="306"/>
      <c r="P14" s="325"/>
      <c r="Q14" s="328"/>
      <c r="R14" s="322"/>
      <c r="S14" s="323"/>
      <c r="T14" s="322"/>
      <c r="U14" s="323"/>
    </row>
    <row r="15" spans="1:21" ht="41.25" customHeight="1" thickBot="1" x14ac:dyDescent="0.25">
      <c r="A15" s="311"/>
      <c r="B15" s="314"/>
      <c r="C15" s="334"/>
      <c r="D15" s="331"/>
      <c r="E15" s="331"/>
      <c r="F15" s="331"/>
      <c r="G15" s="337"/>
      <c r="H15" s="331"/>
      <c r="I15" s="331"/>
      <c r="J15" s="331"/>
      <c r="K15" s="329"/>
      <c r="L15" s="340"/>
      <c r="M15" s="307"/>
      <c r="N15" s="307"/>
      <c r="O15" s="307"/>
      <c r="P15" s="326"/>
      <c r="Q15" s="329"/>
      <c r="R15" s="15" t="s">
        <v>108</v>
      </c>
      <c r="S15" s="241" t="s">
        <v>121</v>
      </c>
      <c r="T15" s="276" t="s">
        <v>108</v>
      </c>
      <c r="U15" s="17" t="s">
        <v>121</v>
      </c>
    </row>
    <row r="16" spans="1:21" ht="13.5" thickBot="1" x14ac:dyDescent="0.25">
      <c r="A16" s="138">
        <v>1</v>
      </c>
      <c r="B16" s="139" t="s">
        <v>74</v>
      </c>
      <c r="C16" s="295">
        <f>'от продуктов'!$J$38</f>
        <v>206.71104856389127</v>
      </c>
      <c r="D16" s="9">
        <v>0.8</v>
      </c>
      <c r="E16" s="9">
        <v>0.9</v>
      </c>
      <c r="F16" s="9">
        <v>0.9</v>
      </c>
      <c r="G16" s="284">
        <f>C16*D16*E16*F16</f>
        <v>133.94875946940155</v>
      </c>
      <c r="H16" s="9">
        <v>1</v>
      </c>
      <c r="I16" s="9">
        <v>0.9</v>
      </c>
      <c r="J16" s="9">
        <v>0.9</v>
      </c>
      <c r="K16" s="284">
        <f>C16*H16*I16*J16</f>
        <v>167.43594933675195</v>
      </c>
      <c r="L16" s="175">
        <f>'присмотр МДОО'!$J$21</f>
        <v>5.7665037605118243</v>
      </c>
      <c r="M16" s="9">
        <v>1</v>
      </c>
      <c r="N16" s="175">
        <f>'присмотр МДОО'!$J$70</f>
        <v>1.2855644081632653</v>
      </c>
      <c r="O16" s="178">
        <f>'присмотр МДОО'!$H$57</f>
        <v>7.7660375510204096</v>
      </c>
      <c r="P16" s="175">
        <f>'присмотр МДОО'!$C$78</f>
        <v>6.4053142944088126</v>
      </c>
      <c r="Q16" s="284">
        <f>L16+M16+N16+O16+P16</f>
        <v>22.223420014104313</v>
      </c>
      <c r="R16" s="284">
        <f>G16+Q16</f>
        <v>156.17217948350586</v>
      </c>
      <c r="S16" s="285">
        <f>K16+Q16</f>
        <v>189.65936935085625</v>
      </c>
      <c r="T16" s="137">
        <f>81*1.057</f>
        <v>85.61699999999999</v>
      </c>
      <c r="U16" s="14">
        <f>98*1.057</f>
        <v>103.586</v>
      </c>
    </row>
    <row r="17" spans="11:11" x14ac:dyDescent="0.2">
      <c r="K17" s="286"/>
    </row>
    <row r="19" spans="11:11" ht="18.75" customHeight="1" x14ac:dyDescent="0.2"/>
    <row r="21" spans="11:11" ht="12.75" customHeight="1" x14ac:dyDescent="0.2"/>
    <row r="22" spans="11:11" ht="12.75" customHeight="1" x14ac:dyDescent="0.2"/>
    <row r="23" spans="11:11" ht="12.75" customHeight="1" x14ac:dyDescent="0.2"/>
  </sheetData>
  <mergeCells count="31">
    <mergeCell ref="I14:I15"/>
    <mergeCell ref="J14:J15"/>
    <mergeCell ref="T12:U14"/>
    <mergeCell ref="C13:C15"/>
    <mergeCell ref="D13:F13"/>
    <mergeCell ref="G13:G15"/>
    <mergeCell ref="H13:J13"/>
    <mergeCell ref="K13:K15"/>
    <mergeCell ref="L13:L15"/>
    <mergeCell ref="M13:M15"/>
    <mergeCell ref="B6:U6"/>
    <mergeCell ref="B7:U7"/>
    <mergeCell ref="N13:N15"/>
    <mergeCell ref="O13:O15"/>
    <mergeCell ref="A10:S10"/>
    <mergeCell ref="A12:A15"/>
    <mergeCell ref="B12:B15"/>
    <mergeCell ref="C12:K12"/>
    <mergeCell ref="L12:Q12"/>
    <mergeCell ref="R12:S14"/>
    <mergeCell ref="P13:P15"/>
    <mergeCell ref="Q13:Q15"/>
    <mergeCell ref="D14:D15"/>
    <mergeCell ref="E14:E15"/>
    <mergeCell ref="F14:F15"/>
    <mergeCell ref="H14:H15"/>
    <mergeCell ref="A1:S1"/>
    <mergeCell ref="B2:O2"/>
    <mergeCell ref="B3:O3"/>
    <mergeCell ref="B4:O4"/>
    <mergeCell ref="B5:O5"/>
  </mergeCells>
  <pageMargins left="0.23622047244094491" right="0.23622047244094491" top="0.35433070866141736" bottom="0.35433070866141736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tabSelected="1" zoomScaleNormal="100" zoomScaleSheetLayoutView="80" workbookViewId="0">
      <pane xSplit="2" ySplit="3" topLeftCell="C4" activePane="bottomRight" state="frozen"/>
      <selection activeCell="A2" sqref="A2:XFD4"/>
      <selection pane="topRight" activeCell="A2" sqref="A2:XFD4"/>
      <selection pane="bottomLeft" activeCell="A2" sqref="A2:XFD4"/>
      <selection pane="bottomRight" activeCell="B61" sqref="B61"/>
    </sheetView>
  </sheetViews>
  <sheetFormatPr defaultColWidth="9.140625" defaultRowHeight="12.75" x14ac:dyDescent="0.25"/>
  <cols>
    <col min="1" max="1" width="5.140625" style="42" customWidth="1"/>
    <col min="2" max="2" width="30.140625" style="42" customWidth="1"/>
    <col min="3" max="3" width="9.5703125" style="42" customWidth="1"/>
    <col min="4" max="4" width="10.85546875" style="42" bestFit="1" customWidth="1"/>
    <col min="5" max="5" width="10.42578125" style="42" customWidth="1"/>
    <col min="6" max="6" width="12" style="42" customWidth="1"/>
    <col min="7" max="8" width="11.28515625" style="42" customWidth="1"/>
    <col min="9" max="9" width="9.7109375" style="42" customWidth="1"/>
    <col min="10" max="10" width="11.42578125" style="42" bestFit="1" customWidth="1"/>
    <col min="11" max="11" width="14.42578125" style="42" hidden="1" customWidth="1"/>
    <col min="12" max="12" width="11" style="42" bestFit="1" customWidth="1"/>
    <col min="13" max="13" width="10.85546875" style="42" bestFit="1" customWidth="1"/>
    <col min="14" max="14" width="9.140625" style="42"/>
    <col min="15" max="15" width="33.5703125" style="42" customWidth="1"/>
    <col min="16" max="16" width="14.7109375" style="42" customWidth="1"/>
    <col min="17" max="17" width="15" style="42" customWidth="1"/>
    <col min="18" max="16384" width="9.140625" style="42"/>
  </cols>
  <sheetData>
    <row r="1" spans="1:13" ht="13.5" hidden="1" customHeight="1" x14ac:dyDescent="0.25">
      <c r="A1" s="347" t="s">
        <v>122</v>
      </c>
      <c r="B1" s="347"/>
      <c r="C1" s="347"/>
      <c r="D1" s="347"/>
      <c r="E1" s="347"/>
      <c r="F1" s="347"/>
      <c r="G1" s="347"/>
      <c r="H1" s="347"/>
      <c r="I1" s="347"/>
      <c r="J1" s="347"/>
      <c r="K1" s="41"/>
    </row>
    <row r="2" spans="1:13" ht="13.5" hidden="1" customHeight="1" thickBot="1" x14ac:dyDescent="0.3">
      <c r="A2" s="43"/>
      <c r="B2" s="43"/>
      <c r="C2" s="43"/>
      <c r="D2" s="43"/>
      <c r="E2" s="43"/>
      <c r="F2" s="43"/>
      <c r="G2" s="43"/>
      <c r="H2" s="43"/>
      <c r="I2" s="43"/>
      <c r="J2" s="267"/>
      <c r="K2" s="268">
        <v>0.19439999999999999</v>
      </c>
    </row>
    <row r="3" spans="1:13" ht="43.5" hidden="1" customHeight="1" x14ac:dyDescent="0.25">
      <c r="A3" s="44" t="s">
        <v>123</v>
      </c>
      <c r="B3" s="45" t="s">
        <v>124</v>
      </c>
      <c r="C3" s="45" t="s">
        <v>125</v>
      </c>
      <c r="D3" s="45" t="s">
        <v>126</v>
      </c>
      <c r="E3" s="45" t="s">
        <v>127</v>
      </c>
      <c r="F3" s="45" t="s">
        <v>128</v>
      </c>
      <c r="G3" s="45" t="s">
        <v>129</v>
      </c>
      <c r="H3" s="45" t="s">
        <v>130</v>
      </c>
      <c r="I3" s="45" t="s">
        <v>131</v>
      </c>
      <c r="J3" s="46" t="s">
        <v>132</v>
      </c>
      <c r="K3" s="47"/>
      <c r="L3" s="47"/>
      <c r="M3" s="47"/>
    </row>
    <row r="4" spans="1:13" ht="15.75" hidden="1" customHeight="1" x14ac:dyDescent="0.25">
      <c r="A4" s="348" t="s">
        <v>133</v>
      </c>
      <c r="B4" s="349"/>
      <c r="C4" s="349"/>
      <c r="D4" s="349"/>
      <c r="E4" s="349"/>
      <c r="F4" s="349"/>
      <c r="G4" s="349"/>
      <c r="H4" s="349"/>
      <c r="I4" s="349"/>
      <c r="J4" s="350"/>
      <c r="K4" s="41"/>
      <c r="L4" s="48"/>
      <c r="M4" s="48"/>
    </row>
    <row r="5" spans="1:13" hidden="1" x14ac:dyDescent="0.25">
      <c r="A5" s="49">
        <v>1</v>
      </c>
      <c r="B5" s="50" t="s">
        <v>134</v>
      </c>
      <c r="C5" s="51" t="s">
        <v>90</v>
      </c>
      <c r="D5" s="52">
        <v>2</v>
      </c>
      <c r="E5" s="52">
        <v>1</v>
      </c>
      <c r="F5" s="52">
        <v>2</v>
      </c>
      <c r="G5" s="53">
        <f>F5/12</f>
        <v>0.16666666666666666</v>
      </c>
      <c r="H5" s="54">
        <f>G5/20.58</f>
        <v>8.0984774862325887E-3</v>
      </c>
      <c r="I5" s="269">
        <f t="shared" ref="I5:I12" si="0">K5*$K$2+K5</f>
        <v>79.917304000000001</v>
      </c>
      <c r="J5" s="55">
        <f>H5*I5</f>
        <v>0.6472084872044056</v>
      </c>
      <c r="K5" s="48">
        <v>66.91</v>
      </c>
      <c r="L5" s="48"/>
      <c r="M5" s="48"/>
    </row>
    <row r="6" spans="1:13" hidden="1" x14ac:dyDescent="0.25">
      <c r="A6" s="351">
        <v>2</v>
      </c>
      <c r="B6" s="50" t="s">
        <v>135</v>
      </c>
      <c r="C6" s="354" t="s">
        <v>90</v>
      </c>
      <c r="D6" s="357">
        <v>2</v>
      </c>
      <c r="E6" s="357">
        <v>3</v>
      </c>
      <c r="F6" s="357">
        <v>0.7</v>
      </c>
      <c r="G6" s="360">
        <f>F6/12</f>
        <v>5.8333333333333327E-2</v>
      </c>
      <c r="H6" s="363">
        <f>G6/20.58</f>
        <v>2.8344671201814059E-3</v>
      </c>
      <c r="I6" s="366">
        <f t="shared" si="0"/>
        <v>764.41599999999994</v>
      </c>
      <c r="J6" s="369">
        <f>I6*H6</f>
        <v>2.1667120181405894</v>
      </c>
      <c r="K6" s="341">
        <v>640</v>
      </c>
      <c r="L6" s="56"/>
      <c r="M6" s="56"/>
    </row>
    <row r="7" spans="1:13" hidden="1" x14ac:dyDescent="0.25">
      <c r="A7" s="352"/>
      <c r="B7" s="50" t="s">
        <v>136</v>
      </c>
      <c r="C7" s="355"/>
      <c r="D7" s="358"/>
      <c r="E7" s="358"/>
      <c r="F7" s="358"/>
      <c r="G7" s="361"/>
      <c r="H7" s="364"/>
      <c r="I7" s="367">
        <f t="shared" si="0"/>
        <v>0</v>
      </c>
      <c r="J7" s="370"/>
      <c r="K7" s="341"/>
      <c r="L7" s="56"/>
      <c r="M7" s="56"/>
    </row>
    <row r="8" spans="1:13" hidden="1" x14ac:dyDescent="0.25">
      <c r="A8" s="353"/>
      <c r="B8" s="50" t="s">
        <v>137</v>
      </c>
      <c r="C8" s="356"/>
      <c r="D8" s="359"/>
      <c r="E8" s="359"/>
      <c r="F8" s="359"/>
      <c r="G8" s="362"/>
      <c r="H8" s="365"/>
      <c r="I8" s="368">
        <f t="shared" si="0"/>
        <v>0</v>
      </c>
      <c r="J8" s="371"/>
      <c r="K8" s="341"/>
      <c r="L8" s="56"/>
      <c r="M8" s="56"/>
    </row>
    <row r="9" spans="1:13" hidden="1" x14ac:dyDescent="0.25">
      <c r="A9" s="49">
        <v>3</v>
      </c>
      <c r="B9" s="50" t="s">
        <v>138</v>
      </c>
      <c r="C9" s="51" t="s">
        <v>90</v>
      </c>
      <c r="D9" s="52">
        <v>1</v>
      </c>
      <c r="E9" s="52">
        <v>10</v>
      </c>
      <c r="F9" s="52">
        <v>0.1</v>
      </c>
      <c r="G9" s="53">
        <f>F9/12</f>
        <v>8.3333333333333332E-3</v>
      </c>
      <c r="H9" s="54">
        <f>G9/20.58</f>
        <v>4.0492387431162946E-4</v>
      </c>
      <c r="I9" s="269">
        <f t="shared" si="0"/>
        <v>284.434416</v>
      </c>
      <c r="J9" s="55">
        <f>H9*I9</f>
        <v>0.11517428571428573</v>
      </c>
      <c r="K9" s="48">
        <v>238.14</v>
      </c>
      <c r="L9" s="56"/>
      <c r="M9" s="56"/>
    </row>
    <row r="10" spans="1:13" ht="18.75" hidden="1" customHeight="1" x14ac:dyDescent="0.25">
      <c r="A10" s="49">
        <v>4</v>
      </c>
      <c r="B10" s="50" t="s">
        <v>139</v>
      </c>
      <c r="C10" s="51" t="s">
        <v>90</v>
      </c>
      <c r="D10" s="52">
        <v>1</v>
      </c>
      <c r="E10" s="52">
        <v>5</v>
      </c>
      <c r="F10" s="52">
        <v>0.2</v>
      </c>
      <c r="G10" s="53">
        <f>F10/12</f>
        <v>1.6666666666666666E-2</v>
      </c>
      <c r="H10" s="54">
        <f>G10/20.58</f>
        <v>8.0984774862325891E-4</v>
      </c>
      <c r="I10" s="269">
        <f t="shared" si="0"/>
        <v>1679.5175040000001</v>
      </c>
      <c r="J10" s="55">
        <f>H10*I10</f>
        <v>1.3601534693877553</v>
      </c>
      <c r="K10" s="48">
        <v>1406.16</v>
      </c>
      <c r="L10" s="56"/>
      <c r="M10" s="56"/>
    </row>
    <row r="11" spans="1:13" hidden="1" x14ac:dyDescent="0.25">
      <c r="A11" s="49">
        <v>5</v>
      </c>
      <c r="B11" s="50" t="s">
        <v>140</v>
      </c>
      <c r="C11" s="51" t="s">
        <v>90</v>
      </c>
      <c r="D11" s="52">
        <v>1</v>
      </c>
      <c r="E11" s="52">
        <v>5</v>
      </c>
      <c r="F11" s="52">
        <v>0.2</v>
      </c>
      <c r="G11" s="53">
        <f>F11/12</f>
        <v>1.6666666666666666E-2</v>
      </c>
      <c r="H11" s="54">
        <f>G11/20.58</f>
        <v>8.0984774862325891E-4</v>
      </c>
      <c r="I11" s="269">
        <f t="shared" si="0"/>
        <v>988.74820800000009</v>
      </c>
      <c r="J11" s="55">
        <f>H11*I11</f>
        <v>0.80073551020408174</v>
      </c>
      <c r="K11" s="48">
        <v>827.82</v>
      </c>
      <c r="L11" s="56"/>
      <c r="M11" s="56"/>
    </row>
    <row r="12" spans="1:13" hidden="1" x14ac:dyDescent="0.25">
      <c r="A12" s="49">
        <v>6</v>
      </c>
      <c r="B12" s="50" t="s">
        <v>141</v>
      </c>
      <c r="C12" s="51" t="s">
        <v>90</v>
      </c>
      <c r="D12" s="52">
        <v>1</v>
      </c>
      <c r="E12" s="52">
        <v>5</v>
      </c>
      <c r="F12" s="52">
        <v>0.2</v>
      </c>
      <c r="G12" s="53">
        <f>F12/12</f>
        <v>1.6666666666666666E-2</v>
      </c>
      <c r="H12" s="54">
        <f>G12/20.58</f>
        <v>8.0984774862325891E-4</v>
      </c>
      <c r="I12" s="269">
        <f t="shared" si="0"/>
        <v>487.601856</v>
      </c>
      <c r="J12" s="55">
        <f>H12*I12</f>
        <v>0.3948832653061225</v>
      </c>
      <c r="K12" s="48">
        <v>408.24</v>
      </c>
      <c r="L12" s="56"/>
      <c r="M12" s="56"/>
    </row>
    <row r="13" spans="1:13" hidden="1" x14ac:dyDescent="0.25">
      <c r="A13" s="342" t="s">
        <v>142</v>
      </c>
      <c r="B13" s="343"/>
      <c r="C13" s="50"/>
      <c r="D13" s="50"/>
      <c r="E13" s="50"/>
      <c r="F13" s="50"/>
      <c r="G13" s="50"/>
      <c r="H13" s="50"/>
      <c r="I13" s="50"/>
      <c r="J13" s="122">
        <f>SUM(J5:J12)</f>
        <v>5.4848670359572402</v>
      </c>
      <c r="K13" s="57"/>
      <c r="L13" s="56"/>
      <c r="M13" s="56"/>
    </row>
    <row r="14" spans="1:13" ht="42" hidden="1" x14ac:dyDescent="0.25">
      <c r="A14" s="58" t="s">
        <v>123</v>
      </c>
      <c r="B14" s="59" t="s">
        <v>124</v>
      </c>
      <c r="C14" s="59" t="s">
        <v>125</v>
      </c>
      <c r="D14" s="59" t="s">
        <v>126</v>
      </c>
      <c r="E14" s="59" t="s">
        <v>127</v>
      </c>
      <c r="F14" s="59" t="s">
        <v>128</v>
      </c>
      <c r="G14" s="59" t="s">
        <v>129</v>
      </c>
      <c r="H14" s="59" t="s">
        <v>143</v>
      </c>
      <c r="I14" s="59" t="s">
        <v>131</v>
      </c>
      <c r="J14" s="60" t="s">
        <v>132</v>
      </c>
      <c r="K14" s="47"/>
      <c r="L14" s="56"/>
      <c r="M14" s="56"/>
    </row>
    <row r="15" spans="1:13" ht="15.75" hidden="1" customHeight="1" x14ac:dyDescent="0.25">
      <c r="A15" s="344" t="s">
        <v>144</v>
      </c>
      <c r="B15" s="345"/>
      <c r="C15" s="345"/>
      <c r="D15" s="345"/>
      <c r="E15" s="345"/>
      <c r="F15" s="345"/>
      <c r="G15" s="345"/>
      <c r="H15" s="345"/>
      <c r="I15" s="345"/>
      <c r="J15" s="346"/>
      <c r="K15" s="61"/>
      <c r="L15" s="56"/>
      <c r="M15" s="56"/>
    </row>
    <row r="16" spans="1:13" s="69" customFormat="1" hidden="1" x14ac:dyDescent="0.2">
      <c r="A16" s="49">
        <v>1</v>
      </c>
      <c r="B16" s="62" t="s">
        <v>145</v>
      </c>
      <c r="C16" s="63" t="s">
        <v>90</v>
      </c>
      <c r="D16" s="64">
        <v>40</v>
      </c>
      <c r="E16" s="64">
        <v>3</v>
      </c>
      <c r="F16" s="63">
        <v>13.3</v>
      </c>
      <c r="G16" s="65">
        <f>F16/12</f>
        <v>1.1083333333333334</v>
      </c>
      <c r="H16" s="66">
        <f>G16/20.58/100</f>
        <v>5.385487528344672E-4</v>
      </c>
      <c r="I16" s="270">
        <f>K16*$K$2+K16</f>
        <v>33.861240000000002</v>
      </c>
      <c r="J16" s="55">
        <f>H16*I16</f>
        <v>1.8235928571428577E-2</v>
      </c>
      <c r="K16" s="67">
        <v>28.35</v>
      </c>
      <c r="L16" s="68"/>
      <c r="M16" s="68"/>
    </row>
    <row r="17" spans="1:13" s="69" customFormat="1" hidden="1" x14ac:dyDescent="0.2">
      <c r="A17" s="49">
        <v>2</v>
      </c>
      <c r="B17" s="70" t="s">
        <v>146</v>
      </c>
      <c r="C17" s="63" t="s">
        <v>90</v>
      </c>
      <c r="D17" s="64">
        <v>20</v>
      </c>
      <c r="E17" s="64">
        <v>1</v>
      </c>
      <c r="F17" s="63">
        <v>20</v>
      </c>
      <c r="G17" s="65">
        <f>F17/12</f>
        <v>1.6666666666666667</v>
      </c>
      <c r="H17" s="66">
        <f>G17/20.58/100</f>
        <v>8.0984774862325891E-4</v>
      </c>
      <c r="I17" s="270">
        <f>K17*$K$2+K17</f>
        <v>54.046599999999998</v>
      </c>
      <c r="J17" s="55">
        <f>H17*I17</f>
        <v>4.3769517330741824E-2</v>
      </c>
      <c r="K17" s="67">
        <v>45.25</v>
      </c>
      <c r="L17" s="68"/>
      <c r="M17" s="68"/>
    </row>
    <row r="18" spans="1:13" s="69" customFormat="1" hidden="1" x14ac:dyDescent="0.2">
      <c r="A18" s="49">
        <v>3</v>
      </c>
      <c r="B18" s="70" t="s">
        <v>147</v>
      </c>
      <c r="C18" s="63" t="s">
        <v>148</v>
      </c>
      <c r="D18" s="64">
        <v>30</v>
      </c>
      <c r="E18" s="64">
        <v>5</v>
      </c>
      <c r="F18" s="63">
        <v>6</v>
      </c>
      <c r="G18" s="65">
        <f>F18/12</f>
        <v>0.5</v>
      </c>
      <c r="H18" s="66">
        <f>G18/20.58/100</f>
        <v>2.4295432458697766E-4</v>
      </c>
      <c r="I18" s="270">
        <f>K18*$K$2+K18</f>
        <v>93.461799999999997</v>
      </c>
      <c r="J18" s="55">
        <f>H18*I18</f>
        <v>2.2706948493683189E-2</v>
      </c>
      <c r="K18" s="67">
        <v>78.25</v>
      </c>
      <c r="L18" s="68"/>
      <c r="M18" s="68"/>
    </row>
    <row r="19" spans="1:13" s="69" customFormat="1" ht="28.5" hidden="1" customHeight="1" x14ac:dyDescent="0.2">
      <c r="A19" s="49">
        <v>4</v>
      </c>
      <c r="B19" s="70" t="s">
        <v>149</v>
      </c>
      <c r="C19" s="71" t="s">
        <v>148</v>
      </c>
      <c r="D19" s="72">
        <v>250</v>
      </c>
      <c r="E19" s="72">
        <v>3</v>
      </c>
      <c r="F19" s="71">
        <v>83.3</v>
      </c>
      <c r="G19" s="114">
        <f>F19/12</f>
        <v>6.9416666666666664</v>
      </c>
      <c r="H19" s="115">
        <f>G19/20.58/100</f>
        <v>3.3730158730158732E-3</v>
      </c>
      <c r="I19" s="270">
        <f>K19*$K$2+K19</f>
        <v>58.382272</v>
      </c>
      <c r="J19" s="55">
        <f>H19*I19</f>
        <v>0.19692433015873018</v>
      </c>
      <c r="K19" s="67">
        <v>48.88</v>
      </c>
      <c r="L19" s="68"/>
      <c r="M19" s="68"/>
    </row>
    <row r="20" spans="1:13" s="69" customFormat="1" hidden="1" x14ac:dyDescent="0.2">
      <c r="A20" s="342" t="s">
        <v>142</v>
      </c>
      <c r="B20" s="343"/>
      <c r="C20" s="73"/>
      <c r="D20" s="73"/>
      <c r="E20" s="73"/>
      <c r="F20" s="73"/>
      <c r="G20" s="73"/>
      <c r="H20" s="73"/>
      <c r="I20" s="73"/>
      <c r="J20" s="74">
        <f>SUM(J16:J19)</f>
        <v>0.28163672455458377</v>
      </c>
      <c r="K20" s="75"/>
      <c r="L20" s="68"/>
      <c r="M20" s="68"/>
    </row>
    <row r="21" spans="1:13" s="79" customFormat="1" ht="15" hidden="1" thickBot="1" x14ac:dyDescent="0.25">
      <c r="A21" s="76"/>
      <c r="B21" s="77"/>
      <c r="C21" s="77"/>
      <c r="D21" s="77"/>
      <c r="E21" s="77"/>
      <c r="F21" s="77"/>
      <c r="G21" s="77"/>
      <c r="H21" s="77"/>
      <c r="I21" s="77"/>
      <c r="J21" s="121">
        <f>J13+J20</f>
        <v>5.7665037605118243</v>
      </c>
      <c r="K21" s="47"/>
      <c r="L21" s="78"/>
      <c r="M21" s="78"/>
    </row>
    <row r="22" spans="1:13" s="79" customFormat="1" hidden="1" x14ac:dyDescent="0.2">
      <c r="A22" s="47"/>
      <c r="B22" s="47"/>
      <c r="C22" s="47"/>
      <c r="D22" s="47"/>
      <c r="E22" s="47"/>
      <c r="F22" s="47"/>
      <c r="G22" s="47"/>
      <c r="H22" s="47"/>
      <c r="I22" s="47"/>
      <c r="J22" s="80"/>
      <c r="K22" s="47"/>
      <c r="L22" s="78"/>
      <c r="M22" s="78"/>
    </row>
    <row r="23" spans="1:13" ht="13.5" hidden="1" customHeight="1" x14ac:dyDescent="0.25">
      <c r="A23" s="347" t="s">
        <v>150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81"/>
      <c r="M23" s="81"/>
    </row>
    <row r="24" spans="1:13" ht="13.5" hidden="1" customHeigh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81"/>
      <c r="M24" s="81"/>
    </row>
    <row r="25" spans="1:13" ht="13.5" hidden="1" customHeight="1" x14ac:dyDescent="0.25">
      <c r="A25" s="43"/>
      <c r="B25" s="43" t="s">
        <v>151</v>
      </c>
      <c r="C25" s="43"/>
      <c r="D25" s="43"/>
      <c r="E25" s="43"/>
      <c r="F25" s="43"/>
      <c r="G25" s="43"/>
      <c r="H25" s="43"/>
      <c r="I25" s="43"/>
      <c r="J25" s="43"/>
      <c r="K25" s="43"/>
      <c r="L25" s="81"/>
      <c r="M25" s="81"/>
    </row>
    <row r="26" spans="1:13" ht="13.5" hidden="1" customHeight="1" thickBot="1" x14ac:dyDescent="0.3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81"/>
      <c r="M26" s="81"/>
    </row>
    <row r="27" spans="1:13" ht="55.5" hidden="1" customHeight="1" x14ac:dyDescent="0.25">
      <c r="A27" s="44" t="s">
        <v>123</v>
      </c>
      <c r="B27" s="45" t="s">
        <v>124</v>
      </c>
      <c r="C27" s="45" t="s">
        <v>125</v>
      </c>
      <c r="D27" s="45" t="s">
        <v>152</v>
      </c>
      <c r="E27" s="82" t="s">
        <v>153</v>
      </c>
      <c r="F27" s="83" t="s">
        <v>154</v>
      </c>
      <c r="G27" s="83" t="s">
        <v>131</v>
      </c>
      <c r="H27" s="84" t="s">
        <v>155</v>
      </c>
      <c r="I27" s="47"/>
      <c r="J27" s="47"/>
      <c r="K27" s="47"/>
      <c r="L27" s="85"/>
      <c r="M27" s="85"/>
    </row>
    <row r="28" spans="1:13" hidden="1" x14ac:dyDescent="0.25">
      <c r="A28" s="86"/>
      <c r="B28" s="87" t="s">
        <v>156</v>
      </c>
      <c r="C28" s="51"/>
      <c r="D28" s="51"/>
      <c r="E28" s="88"/>
      <c r="F28" s="51"/>
      <c r="G28" s="51"/>
      <c r="H28" s="89"/>
      <c r="I28" s="90"/>
      <c r="J28" s="90"/>
      <c r="K28" s="194">
        <v>18.143999999999998</v>
      </c>
      <c r="L28" s="56"/>
      <c r="M28" s="56"/>
    </row>
    <row r="29" spans="1:13" hidden="1" x14ac:dyDescent="0.25">
      <c r="A29" s="49">
        <v>1</v>
      </c>
      <c r="B29" s="50" t="s">
        <v>157</v>
      </c>
      <c r="C29" s="51" t="s">
        <v>158</v>
      </c>
      <c r="D29" s="52">
        <v>2</v>
      </c>
      <c r="E29" s="52">
        <f>D29/20</f>
        <v>0.1</v>
      </c>
      <c r="F29" s="91">
        <f>E29/20.58</f>
        <v>4.8590864917395539E-3</v>
      </c>
      <c r="G29" s="269">
        <f>K28*$K$2+K28</f>
        <v>21.671193599999999</v>
      </c>
      <c r="H29" s="89">
        <f>F29*G29</f>
        <v>0.10530220408163267</v>
      </c>
      <c r="I29" s="92"/>
      <c r="J29" s="48"/>
      <c r="K29" s="194">
        <v>17.576999999999998</v>
      </c>
      <c r="L29" s="56"/>
      <c r="M29" s="56"/>
    </row>
    <row r="30" spans="1:13" hidden="1" x14ac:dyDescent="0.25">
      <c r="A30" s="49">
        <v>2</v>
      </c>
      <c r="B30" s="50" t="s">
        <v>159</v>
      </c>
      <c r="C30" s="51" t="s">
        <v>158</v>
      </c>
      <c r="D30" s="52">
        <v>5</v>
      </c>
      <c r="E30" s="52">
        <f t="shared" ref="E30:E36" si="1">D30/20</f>
        <v>0.25</v>
      </c>
      <c r="F30" s="91">
        <f t="shared" ref="F30:F36" si="2">E30/20.58</f>
        <v>1.2147716229348883E-2</v>
      </c>
      <c r="G30" s="269">
        <f t="shared" ref="G30:G36" si="3">K29*$K$2+K29</f>
        <v>20.993968799999998</v>
      </c>
      <c r="H30" s="89">
        <f t="shared" ref="H30:H36" si="4">F30*G30</f>
        <v>0.25502877551020409</v>
      </c>
      <c r="I30" s="92"/>
      <c r="J30" s="48"/>
      <c r="K30" s="194">
        <v>103.194</v>
      </c>
      <c r="L30" s="56"/>
      <c r="M30" s="56"/>
    </row>
    <row r="31" spans="1:13" ht="15" hidden="1" customHeight="1" x14ac:dyDescent="0.25">
      <c r="A31" s="49">
        <v>3</v>
      </c>
      <c r="B31" s="50" t="s">
        <v>160</v>
      </c>
      <c r="C31" s="51" t="s">
        <v>161</v>
      </c>
      <c r="D31" s="52">
        <v>1</v>
      </c>
      <c r="E31" s="52">
        <f t="shared" si="1"/>
        <v>0.05</v>
      </c>
      <c r="F31" s="91">
        <f t="shared" si="2"/>
        <v>2.4295432458697769E-3</v>
      </c>
      <c r="G31" s="269">
        <f t="shared" si="3"/>
        <v>123.25491360000001</v>
      </c>
      <c r="H31" s="89">
        <f t="shared" si="4"/>
        <v>0.29945314285714292</v>
      </c>
      <c r="I31" s="92"/>
      <c r="J31" s="48"/>
      <c r="K31" s="194">
        <v>73.710000000000008</v>
      </c>
      <c r="L31" s="56"/>
      <c r="M31" s="56"/>
    </row>
    <row r="32" spans="1:13" hidden="1" x14ac:dyDescent="0.25">
      <c r="A32" s="49">
        <v>4</v>
      </c>
      <c r="B32" s="50" t="s">
        <v>162</v>
      </c>
      <c r="C32" s="51" t="s">
        <v>161</v>
      </c>
      <c r="D32" s="52">
        <v>1</v>
      </c>
      <c r="E32" s="52">
        <f t="shared" si="1"/>
        <v>0.05</v>
      </c>
      <c r="F32" s="91">
        <f t="shared" si="2"/>
        <v>2.4295432458697769E-3</v>
      </c>
      <c r="G32" s="269">
        <f t="shared" si="3"/>
        <v>88.039224000000004</v>
      </c>
      <c r="H32" s="89">
        <f t="shared" si="4"/>
        <v>0.21389510204081638</v>
      </c>
      <c r="I32" s="92"/>
      <c r="J32" s="48"/>
      <c r="K32" s="194">
        <v>35.153999999999996</v>
      </c>
      <c r="L32" s="56"/>
      <c r="M32" s="56"/>
    </row>
    <row r="33" spans="1:13" hidden="1" x14ac:dyDescent="0.25">
      <c r="A33" s="49">
        <v>5</v>
      </c>
      <c r="B33" s="50" t="s">
        <v>163</v>
      </c>
      <c r="C33" s="51" t="s">
        <v>164</v>
      </c>
      <c r="D33" s="52">
        <v>1</v>
      </c>
      <c r="E33" s="52">
        <f t="shared" si="1"/>
        <v>0.05</v>
      </c>
      <c r="F33" s="91">
        <f t="shared" si="2"/>
        <v>2.4295432458697769E-3</v>
      </c>
      <c r="G33" s="269">
        <f t="shared" si="3"/>
        <v>41.987937599999995</v>
      </c>
      <c r="H33" s="89">
        <f t="shared" si="4"/>
        <v>0.10201151020408164</v>
      </c>
      <c r="I33" s="92"/>
      <c r="J33" s="48"/>
      <c r="K33" s="194">
        <v>16.896599999999999</v>
      </c>
      <c r="L33" s="56"/>
      <c r="M33" s="56"/>
    </row>
    <row r="34" spans="1:13" hidden="1" x14ac:dyDescent="0.25">
      <c r="A34" s="49">
        <v>6</v>
      </c>
      <c r="B34" s="50" t="s">
        <v>188</v>
      </c>
      <c r="C34" s="51" t="s">
        <v>90</v>
      </c>
      <c r="D34" s="52">
        <v>3</v>
      </c>
      <c r="E34" s="52">
        <f t="shared" si="1"/>
        <v>0.15</v>
      </c>
      <c r="F34" s="91">
        <f t="shared" si="2"/>
        <v>7.28862973760933E-3</v>
      </c>
      <c r="G34" s="269">
        <f t="shared" si="3"/>
        <v>20.181299039999999</v>
      </c>
      <c r="H34" s="89">
        <f t="shared" si="4"/>
        <v>0.1470940163265306</v>
      </c>
      <c r="I34" s="92"/>
      <c r="J34" s="48"/>
      <c r="K34" s="194">
        <v>13.608000000000001</v>
      </c>
      <c r="L34" s="56"/>
      <c r="M34" s="56"/>
    </row>
    <row r="35" spans="1:13" hidden="1" x14ac:dyDescent="0.25">
      <c r="A35" s="49">
        <v>7</v>
      </c>
      <c r="B35" s="50" t="s">
        <v>166</v>
      </c>
      <c r="C35" s="51" t="s">
        <v>90</v>
      </c>
      <c r="D35" s="52">
        <v>1</v>
      </c>
      <c r="E35" s="52">
        <f t="shared" si="1"/>
        <v>0.05</v>
      </c>
      <c r="F35" s="91">
        <f t="shared" si="2"/>
        <v>2.4295432458697769E-3</v>
      </c>
      <c r="G35" s="269">
        <f t="shared" si="3"/>
        <v>16.2533952</v>
      </c>
      <c r="H35" s="89">
        <f t="shared" si="4"/>
        <v>3.9488326530612253E-2</v>
      </c>
      <c r="I35" s="92"/>
      <c r="J35" s="48"/>
      <c r="K35" s="194">
        <v>22.68</v>
      </c>
      <c r="L35" s="56"/>
      <c r="M35" s="56"/>
    </row>
    <row r="36" spans="1:13" ht="15" hidden="1" customHeight="1" x14ac:dyDescent="0.25">
      <c r="A36" s="49">
        <v>8</v>
      </c>
      <c r="B36" s="50" t="s">
        <v>189</v>
      </c>
      <c r="C36" s="51" t="s">
        <v>148</v>
      </c>
      <c r="D36" s="52">
        <v>0.5</v>
      </c>
      <c r="E36" s="52">
        <f t="shared" si="1"/>
        <v>2.5000000000000001E-2</v>
      </c>
      <c r="F36" s="91">
        <f t="shared" si="2"/>
        <v>1.2147716229348885E-3</v>
      </c>
      <c r="G36" s="269">
        <f t="shared" si="3"/>
        <v>27.088991999999998</v>
      </c>
      <c r="H36" s="89">
        <f t="shared" si="4"/>
        <v>3.2906938775510208E-2</v>
      </c>
      <c r="I36" s="92"/>
      <c r="J36" s="48"/>
      <c r="K36" s="48"/>
      <c r="L36" s="56"/>
      <c r="M36" s="56"/>
    </row>
    <row r="37" spans="1:13" ht="15" hidden="1" thickBot="1" x14ac:dyDescent="0.3">
      <c r="A37" s="93"/>
      <c r="B37" s="94"/>
      <c r="C37" s="94"/>
      <c r="D37" s="94"/>
      <c r="E37" s="94"/>
      <c r="F37" s="94"/>
      <c r="G37" s="94"/>
      <c r="H37" s="120">
        <f>SUM(H29:H36)</f>
        <v>1.1951800163265309</v>
      </c>
      <c r="I37" s="48"/>
      <c r="J37" s="57"/>
      <c r="K37" s="57"/>
      <c r="L37" s="56"/>
      <c r="M37" s="56"/>
    </row>
    <row r="38" spans="1:13" hidden="1" x14ac:dyDescent="0.25">
      <c r="A38" s="95"/>
      <c r="B38" s="48"/>
      <c r="C38" s="48"/>
      <c r="D38" s="48"/>
      <c r="E38" s="48"/>
      <c r="F38" s="48"/>
      <c r="G38" s="48"/>
      <c r="H38" s="96"/>
      <c r="I38" s="48"/>
      <c r="J38" s="57"/>
      <c r="K38" s="57"/>
      <c r="L38" s="56"/>
      <c r="M38" s="56"/>
    </row>
    <row r="39" spans="1:13" ht="15.75" hidden="1" x14ac:dyDescent="0.25">
      <c r="A39" s="95"/>
      <c r="B39" s="41" t="s">
        <v>168</v>
      </c>
      <c r="C39" s="48"/>
      <c r="D39" s="48"/>
      <c r="E39" s="48"/>
      <c r="F39" s="48"/>
      <c r="G39" s="48"/>
      <c r="H39" s="96"/>
      <c r="I39" s="48"/>
      <c r="J39" s="57"/>
      <c r="K39" s="57"/>
      <c r="L39" s="56"/>
      <c r="M39" s="56"/>
    </row>
    <row r="40" spans="1:13" ht="13.5" hidden="1" thickBot="1" x14ac:dyDescent="0.3">
      <c r="A40" s="95"/>
      <c r="B40" s="48"/>
      <c r="C40" s="48"/>
      <c r="D40" s="48"/>
      <c r="E40" s="48"/>
      <c r="F40" s="48"/>
      <c r="G40" s="48"/>
      <c r="H40" s="96"/>
      <c r="I40" s="48"/>
      <c r="J40" s="57"/>
      <c r="K40" s="57"/>
      <c r="L40" s="56"/>
      <c r="M40" s="56"/>
    </row>
    <row r="41" spans="1:13" ht="31.5" hidden="1" x14ac:dyDescent="0.25">
      <c r="A41" s="44" t="s">
        <v>123</v>
      </c>
      <c r="B41" s="45" t="s">
        <v>124</v>
      </c>
      <c r="C41" s="45" t="s">
        <v>125</v>
      </c>
      <c r="D41" s="45" t="s">
        <v>152</v>
      </c>
      <c r="E41" s="82" t="s">
        <v>153</v>
      </c>
      <c r="F41" s="83" t="s">
        <v>154</v>
      </c>
      <c r="G41" s="83" t="s">
        <v>131</v>
      </c>
      <c r="H41" s="84" t="s">
        <v>155</v>
      </c>
      <c r="I41" s="48"/>
      <c r="J41" s="57"/>
      <c r="K41" s="57"/>
      <c r="L41" s="56"/>
      <c r="M41" s="56"/>
    </row>
    <row r="42" spans="1:13" hidden="1" x14ac:dyDescent="0.25">
      <c r="A42" s="86"/>
      <c r="B42" s="87" t="s">
        <v>156</v>
      </c>
      <c r="C42" s="51"/>
      <c r="D42" s="51"/>
      <c r="E42" s="88"/>
      <c r="F42" s="51"/>
      <c r="G42" s="51"/>
      <c r="H42" s="89"/>
      <c r="I42" s="48"/>
      <c r="J42" s="57"/>
      <c r="K42" s="57"/>
      <c r="L42" s="56"/>
      <c r="M42" s="56"/>
    </row>
    <row r="43" spans="1:13" hidden="1" x14ac:dyDescent="0.25">
      <c r="A43" s="49">
        <v>1</v>
      </c>
      <c r="B43" s="50" t="s">
        <v>157</v>
      </c>
      <c r="C43" s="51" t="s">
        <v>158</v>
      </c>
      <c r="D43" s="52">
        <v>5</v>
      </c>
      <c r="E43" s="52">
        <f>D43/20</f>
        <v>0.25</v>
      </c>
      <c r="F43" s="91">
        <f>E43/20.58</f>
        <v>1.2147716229348883E-2</v>
      </c>
      <c r="G43" s="269">
        <f>K43*$K$2+K43</f>
        <v>21.671193599999999</v>
      </c>
      <c r="H43" s="89">
        <f>F43*G43</f>
        <v>0.26325551020408161</v>
      </c>
      <c r="I43" s="48"/>
      <c r="J43" s="57"/>
      <c r="K43" s="194">
        <v>18.143999999999998</v>
      </c>
      <c r="L43" s="56"/>
      <c r="M43" s="56"/>
    </row>
    <row r="44" spans="1:13" hidden="1" x14ac:dyDescent="0.25">
      <c r="A44" s="49">
        <v>2</v>
      </c>
      <c r="B44" s="50" t="s">
        <v>159</v>
      </c>
      <c r="C44" s="51" t="s">
        <v>158</v>
      </c>
      <c r="D44" s="52">
        <v>5</v>
      </c>
      <c r="E44" s="52">
        <f t="shared" ref="E44:E50" si="5">D44/20</f>
        <v>0.25</v>
      </c>
      <c r="F44" s="91">
        <f t="shared" ref="F44:F50" si="6">E44/20.58</f>
        <v>1.2147716229348883E-2</v>
      </c>
      <c r="G44" s="269">
        <f t="shared" ref="G44:G50" si="7">K44*$K$2+K44</f>
        <v>20.993968799999998</v>
      </c>
      <c r="H44" s="89">
        <f t="shared" ref="H44:H50" si="8">F44*G44</f>
        <v>0.25502877551020409</v>
      </c>
      <c r="I44" s="48"/>
      <c r="J44" s="57"/>
      <c r="K44" s="194">
        <v>17.576999999999998</v>
      </c>
      <c r="L44" s="56"/>
      <c r="M44" s="56"/>
    </row>
    <row r="45" spans="1:13" hidden="1" x14ac:dyDescent="0.25">
      <c r="A45" s="49">
        <v>3</v>
      </c>
      <c r="B45" s="50" t="s">
        <v>160</v>
      </c>
      <c r="C45" s="51" t="s">
        <v>161</v>
      </c>
      <c r="D45" s="52">
        <v>4</v>
      </c>
      <c r="E45" s="52">
        <f t="shared" si="5"/>
        <v>0.2</v>
      </c>
      <c r="F45" s="91">
        <f t="shared" si="6"/>
        <v>9.7181729834791078E-3</v>
      </c>
      <c r="G45" s="269">
        <f t="shared" si="7"/>
        <v>123.25491360000001</v>
      </c>
      <c r="H45" s="89">
        <f t="shared" si="8"/>
        <v>1.1978125714285717</v>
      </c>
      <c r="I45" s="48"/>
      <c r="J45" s="57"/>
      <c r="K45" s="194">
        <v>103.194</v>
      </c>
      <c r="L45" s="56"/>
      <c r="M45" s="56"/>
    </row>
    <row r="46" spans="1:13" hidden="1" x14ac:dyDescent="0.25">
      <c r="A46" s="49">
        <v>4</v>
      </c>
      <c r="B46" s="50" t="s">
        <v>162</v>
      </c>
      <c r="C46" s="51" t="s">
        <v>161</v>
      </c>
      <c r="D46" s="52">
        <v>1</v>
      </c>
      <c r="E46" s="52">
        <f t="shared" si="5"/>
        <v>0.05</v>
      </c>
      <c r="F46" s="91">
        <f t="shared" si="6"/>
        <v>2.4295432458697769E-3</v>
      </c>
      <c r="G46" s="269">
        <f t="shared" si="7"/>
        <v>88.039224000000004</v>
      </c>
      <c r="H46" s="89">
        <f t="shared" si="8"/>
        <v>0.21389510204081638</v>
      </c>
      <c r="I46" s="48"/>
      <c r="J46" s="57"/>
      <c r="K46" s="194">
        <v>73.710000000000008</v>
      </c>
      <c r="L46" s="56"/>
      <c r="M46" s="56"/>
    </row>
    <row r="47" spans="1:13" hidden="1" x14ac:dyDescent="0.25">
      <c r="A47" s="49">
        <v>5</v>
      </c>
      <c r="B47" s="50" t="s">
        <v>163</v>
      </c>
      <c r="C47" s="51" t="s">
        <v>164</v>
      </c>
      <c r="D47" s="52">
        <v>1</v>
      </c>
      <c r="E47" s="52">
        <f t="shared" si="5"/>
        <v>0.05</v>
      </c>
      <c r="F47" s="91">
        <f t="shared" si="6"/>
        <v>2.4295432458697769E-3</v>
      </c>
      <c r="G47" s="269">
        <f t="shared" si="7"/>
        <v>41.987937599999995</v>
      </c>
      <c r="H47" s="89">
        <f t="shared" si="8"/>
        <v>0.10201151020408164</v>
      </c>
      <c r="I47" s="48"/>
      <c r="J47" s="57"/>
      <c r="K47" s="194">
        <v>35.153999999999996</v>
      </c>
      <c r="L47" s="56"/>
      <c r="M47" s="56"/>
    </row>
    <row r="48" spans="1:13" hidden="1" x14ac:dyDescent="0.25">
      <c r="A48" s="49">
        <v>6</v>
      </c>
      <c r="B48" s="50" t="s">
        <v>228</v>
      </c>
      <c r="C48" s="51" t="s">
        <v>90</v>
      </c>
      <c r="D48" s="52">
        <v>3</v>
      </c>
      <c r="E48" s="52">
        <f t="shared" si="5"/>
        <v>0.15</v>
      </c>
      <c r="F48" s="91">
        <f t="shared" si="6"/>
        <v>7.28862973760933E-3</v>
      </c>
      <c r="G48" s="269">
        <f t="shared" si="7"/>
        <v>20.181299039999999</v>
      </c>
      <c r="H48" s="89">
        <f t="shared" si="8"/>
        <v>0.1470940163265306</v>
      </c>
      <c r="I48" s="48"/>
      <c r="J48" s="57"/>
      <c r="K48" s="194">
        <v>16.896599999999999</v>
      </c>
      <c r="L48" s="56"/>
      <c r="M48" s="56"/>
    </row>
    <row r="49" spans="1:13" hidden="1" x14ac:dyDescent="0.25">
      <c r="A49" s="49">
        <v>7</v>
      </c>
      <c r="B49" s="50" t="s">
        <v>166</v>
      </c>
      <c r="C49" s="51" t="s">
        <v>90</v>
      </c>
      <c r="D49" s="52">
        <v>1</v>
      </c>
      <c r="E49" s="52">
        <f t="shared" si="5"/>
        <v>0.05</v>
      </c>
      <c r="F49" s="91">
        <f t="shared" si="6"/>
        <v>2.4295432458697769E-3</v>
      </c>
      <c r="G49" s="269">
        <f t="shared" si="7"/>
        <v>16.2533952</v>
      </c>
      <c r="H49" s="89">
        <f t="shared" si="8"/>
        <v>3.9488326530612253E-2</v>
      </c>
      <c r="I49" s="48"/>
      <c r="J49" s="57"/>
      <c r="K49" s="194">
        <v>13.608000000000001</v>
      </c>
      <c r="L49" s="56"/>
      <c r="M49" s="56"/>
    </row>
    <row r="50" spans="1:13" hidden="1" x14ac:dyDescent="0.25">
      <c r="A50" s="49">
        <v>8</v>
      </c>
      <c r="B50" s="50" t="s">
        <v>189</v>
      </c>
      <c r="C50" s="51" t="s">
        <v>148</v>
      </c>
      <c r="D50" s="52">
        <v>0.5</v>
      </c>
      <c r="E50" s="52">
        <f t="shared" si="5"/>
        <v>2.5000000000000001E-2</v>
      </c>
      <c r="F50" s="91">
        <f t="shared" si="6"/>
        <v>1.2147716229348885E-3</v>
      </c>
      <c r="G50" s="269">
        <f t="shared" si="7"/>
        <v>27.088991999999998</v>
      </c>
      <c r="H50" s="89">
        <f t="shared" si="8"/>
        <v>3.2906938775510208E-2</v>
      </c>
      <c r="I50" s="48"/>
      <c r="J50" s="57"/>
      <c r="K50" s="194">
        <v>22.68</v>
      </c>
      <c r="L50" s="56"/>
      <c r="M50" s="56"/>
    </row>
    <row r="51" spans="1:13" ht="15" hidden="1" thickBot="1" x14ac:dyDescent="0.3">
      <c r="A51" s="93"/>
      <c r="B51" s="94"/>
      <c r="C51" s="94"/>
      <c r="D51" s="94"/>
      <c r="E51" s="94"/>
      <c r="F51" s="94"/>
      <c r="G51" s="94"/>
      <c r="H51" s="120">
        <f>SUM(H43:H50)</f>
        <v>2.2514927510204084</v>
      </c>
      <c r="I51" s="48"/>
      <c r="J51" s="57"/>
      <c r="K51" s="57"/>
      <c r="L51" s="56"/>
      <c r="M51" s="56"/>
    </row>
    <row r="52" spans="1:13" hidden="1" x14ac:dyDescent="0.25">
      <c r="A52" s="95"/>
      <c r="B52" s="48"/>
      <c r="C52" s="48"/>
      <c r="D52" s="48"/>
      <c r="E52" s="48"/>
      <c r="F52" s="48"/>
      <c r="G52" s="48"/>
      <c r="H52" s="96"/>
      <c r="I52" s="48"/>
      <c r="J52" s="57"/>
      <c r="K52" s="57"/>
      <c r="L52" s="56"/>
      <c r="M52" s="56"/>
    </row>
    <row r="53" spans="1:13" hidden="1" x14ac:dyDescent="0.25">
      <c r="A53" s="95"/>
      <c r="B53" s="48"/>
      <c r="C53" s="48"/>
      <c r="D53" s="48"/>
      <c r="E53" s="48"/>
      <c r="F53" s="48"/>
      <c r="G53" s="48"/>
      <c r="H53" s="48"/>
      <c r="I53" s="48"/>
      <c r="J53" s="57"/>
      <c r="K53" s="57"/>
      <c r="L53" s="48"/>
      <c r="M53" s="48"/>
    </row>
    <row r="54" spans="1:13" ht="14.25" hidden="1" customHeight="1" x14ac:dyDescent="0.25">
      <c r="A54" s="95"/>
      <c r="B54" s="48"/>
      <c r="C54" s="375" t="s">
        <v>169</v>
      </c>
      <c r="D54" s="375"/>
      <c r="E54" s="375"/>
      <c r="F54" s="375"/>
      <c r="G54" s="375"/>
      <c r="H54" s="375"/>
      <c r="I54" s="151"/>
      <c r="J54" s="151"/>
      <c r="K54" s="57"/>
      <c r="L54" s="48"/>
      <c r="M54" s="48"/>
    </row>
    <row r="55" spans="1:13" ht="15" hidden="1" thickBot="1" x14ac:dyDescent="0.3">
      <c r="A55" s="95"/>
      <c r="B55" s="48"/>
      <c r="C55" s="48"/>
      <c r="D55" s="97"/>
      <c r="E55" s="97"/>
      <c r="F55" s="97"/>
      <c r="G55" s="97"/>
      <c r="H55" s="97"/>
      <c r="I55" s="97"/>
      <c r="J55" s="97"/>
      <c r="K55" s="57"/>
      <c r="L55" s="48"/>
      <c r="M55" s="48"/>
    </row>
    <row r="56" spans="1:13" ht="60.75" hidden="1" customHeight="1" x14ac:dyDescent="0.25">
      <c r="A56" s="95"/>
      <c r="B56" s="48"/>
      <c r="C56" s="48"/>
      <c r="D56" s="116" t="s">
        <v>170</v>
      </c>
      <c r="E56" s="117" t="s">
        <v>171</v>
      </c>
      <c r="F56" s="117" t="s">
        <v>172</v>
      </c>
      <c r="G56" s="117" t="s">
        <v>173</v>
      </c>
      <c r="H56" s="118" t="s">
        <v>174</v>
      </c>
      <c r="I56" s="48"/>
      <c r="J56" s="48"/>
      <c r="K56" s="57"/>
      <c r="L56" s="48"/>
      <c r="M56" s="48"/>
    </row>
    <row r="57" spans="1:13" ht="13.5" hidden="1" thickBot="1" x14ac:dyDescent="0.3">
      <c r="A57" s="95"/>
      <c r="B57" s="48"/>
      <c r="C57" s="48"/>
      <c r="D57" s="98">
        <v>0.5</v>
      </c>
      <c r="E57" s="94">
        <v>4</v>
      </c>
      <c r="F57" s="271">
        <f>66.906*K2+66.906</f>
        <v>79.912526400000004</v>
      </c>
      <c r="G57" s="94">
        <f>D57*E57*F57</f>
        <v>159.82505280000001</v>
      </c>
      <c r="H57" s="99">
        <f>G57/20.58</f>
        <v>7.7660375510204096</v>
      </c>
      <c r="I57" s="48"/>
      <c r="J57" s="57"/>
      <c r="K57" s="57"/>
      <c r="L57" s="48"/>
      <c r="M57" s="48"/>
    </row>
    <row r="58" spans="1:13" hidden="1" x14ac:dyDescent="0.25">
      <c r="A58" s="95"/>
      <c r="B58" s="48"/>
      <c r="C58" s="48"/>
      <c r="D58" s="48"/>
      <c r="E58" s="48"/>
      <c r="F58" s="48"/>
      <c r="G58" s="48"/>
      <c r="H58" s="48"/>
      <c r="I58" s="48"/>
      <c r="J58" s="57"/>
      <c r="K58" s="57"/>
      <c r="L58" s="48"/>
      <c r="M58" s="48"/>
    </row>
    <row r="59" spans="1:13" ht="18.75" customHeight="1" x14ac:dyDescent="0.25">
      <c r="A59" s="95"/>
      <c r="B59" s="372" t="s">
        <v>175</v>
      </c>
      <c r="C59" s="373"/>
      <c r="D59" s="373"/>
      <c r="E59" s="373"/>
      <c r="F59" s="373"/>
      <c r="G59" s="373"/>
      <c r="H59" s="373"/>
      <c r="I59" s="373"/>
      <c r="J59" s="373"/>
      <c r="K59" s="57"/>
      <c r="L59" s="48"/>
      <c r="M59" s="48"/>
    </row>
    <row r="60" spans="1:13" ht="15" thickBot="1" x14ac:dyDescent="0.3">
      <c r="A60" s="95"/>
      <c r="B60" s="100"/>
      <c r="C60" s="101"/>
      <c r="D60" s="101"/>
      <c r="E60" s="101"/>
      <c r="F60" s="101"/>
      <c r="G60" s="101"/>
      <c r="H60" s="101"/>
      <c r="I60" s="101"/>
      <c r="J60" s="101"/>
      <c r="K60" s="57"/>
      <c r="L60" s="48"/>
      <c r="M60" s="48"/>
    </row>
    <row r="61" spans="1:13" ht="43.5" customHeight="1" x14ac:dyDescent="0.15">
      <c r="A61" s="44" t="s">
        <v>123</v>
      </c>
      <c r="B61" s="45" t="s">
        <v>124</v>
      </c>
      <c r="C61" s="45" t="s">
        <v>125</v>
      </c>
      <c r="D61" s="45" t="s">
        <v>126</v>
      </c>
      <c r="E61" s="45" t="s">
        <v>127</v>
      </c>
      <c r="F61" s="45" t="s">
        <v>128</v>
      </c>
      <c r="G61" s="102" t="s">
        <v>176</v>
      </c>
      <c r="H61" s="45" t="s">
        <v>177</v>
      </c>
      <c r="I61" s="45" t="s">
        <v>131</v>
      </c>
      <c r="J61" s="46" t="s">
        <v>178</v>
      </c>
      <c r="K61" s="47"/>
      <c r="L61" s="47"/>
      <c r="M61" s="47"/>
    </row>
    <row r="62" spans="1:13" ht="15.75" x14ac:dyDescent="0.25">
      <c r="A62" s="49"/>
      <c r="B62" s="123" t="s">
        <v>179</v>
      </c>
      <c r="C62" s="51" t="s">
        <v>90</v>
      </c>
      <c r="D62" s="50">
        <v>1</v>
      </c>
      <c r="E62" s="50">
        <v>5</v>
      </c>
      <c r="F62" s="50">
        <v>0.2</v>
      </c>
      <c r="G62" s="50">
        <f>F62/12</f>
        <v>1.6666666666666666E-2</v>
      </c>
      <c r="H62" s="103">
        <f t="shared" ref="H62:H69" si="9">G62/20.58</f>
        <v>8.0984774862325891E-4</v>
      </c>
      <c r="I62" s="272">
        <f>K62*$K$2+K62</f>
        <v>27.088991999999998</v>
      </c>
      <c r="J62" s="55">
        <f t="shared" ref="J62:J69" si="10">H62*I62</f>
        <v>2.1937959183673469E-2</v>
      </c>
      <c r="K62" s="195">
        <f>20*13.4%+20</f>
        <v>22.68</v>
      </c>
      <c r="L62" s="48"/>
      <c r="M62" s="48"/>
    </row>
    <row r="63" spans="1:13" ht="15.75" customHeight="1" x14ac:dyDescent="0.25">
      <c r="A63" s="49"/>
      <c r="B63" s="119" t="s">
        <v>180</v>
      </c>
      <c r="C63" s="51" t="s">
        <v>90</v>
      </c>
      <c r="D63" s="50">
        <v>1</v>
      </c>
      <c r="E63" s="50">
        <v>5</v>
      </c>
      <c r="F63" s="50">
        <v>0.2</v>
      </c>
      <c r="G63" s="50">
        <f t="shared" ref="G63:G69" si="11">F63/12</f>
        <v>1.6666666666666666E-2</v>
      </c>
      <c r="H63" s="103">
        <f t="shared" si="9"/>
        <v>8.0984774862325891E-4</v>
      </c>
      <c r="I63" s="272">
        <f t="shared" ref="I63:I69" si="12">K63*$K$2+K63</f>
        <v>20.316744</v>
      </c>
      <c r="J63" s="55">
        <f t="shared" si="10"/>
        <v>1.6453469387755104E-2</v>
      </c>
      <c r="K63" s="195">
        <f>15*13.4%+15</f>
        <v>17.010000000000002</v>
      </c>
      <c r="L63" s="48"/>
      <c r="M63" s="48"/>
    </row>
    <row r="64" spans="1:13" x14ac:dyDescent="0.25">
      <c r="A64" s="49"/>
      <c r="B64" s="50" t="s">
        <v>181</v>
      </c>
      <c r="C64" s="51" t="s">
        <v>90</v>
      </c>
      <c r="D64" s="50">
        <v>1</v>
      </c>
      <c r="E64" s="50">
        <v>5</v>
      </c>
      <c r="F64" s="50">
        <v>0.2</v>
      </c>
      <c r="G64" s="50">
        <f t="shared" si="11"/>
        <v>1.6666666666666666E-2</v>
      </c>
      <c r="H64" s="103">
        <f t="shared" si="9"/>
        <v>8.0984774862325891E-4</v>
      </c>
      <c r="I64" s="272">
        <f t="shared" si="12"/>
        <v>20.316744</v>
      </c>
      <c r="J64" s="55">
        <f t="shared" si="10"/>
        <v>1.6453469387755104E-2</v>
      </c>
      <c r="K64" s="195">
        <f>15*13.4%+15</f>
        <v>17.010000000000002</v>
      </c>
      <c r="L64" s="48"/>
      <c r="M64" s="48"/>
    </row>
    <row r="65" spans="1:14" x14ac:dyDescent="0.25">
      <c r="A65" s="49"/>
      <c r="B65" s="50" t="s">
        <v>182</v>
      </c>
      <c r="C65" s="51" t="s">
        <v>90</v>
      </c>
      <c r="D65" s="50">
        <v>1</v>
      </c>
      <c r="E65" s="50">
        <v>5</v>
      </c>
      <c r="F65" s="50">
        <v>0.2</v>
      </c>
      <c r="G65" s="50">
        <f t="shared" si="11"/>
        <v>1.6666666666666666E-2</v>
      </c>
      <c r="H65" s="103">
        <f t="shared" si="9"/>
        <v>8.0984774862325891E-4</v>
      </c>
      <c r="I65" s="272">
        <f t="shared" si="12"/>
        <v>56.8868832</v>
      </c>
      <c r="J65" s="55">
        <f t="shared" si="10"/>
        <v>4.606971428571429E-2</v>
      </c>
      <c r="K65" s="195">
        <f>42*13.4%+42</f>
        <v>47.628</v>
      </c>
      <c r="L65" s="48"/>
      <c r="M65" s="48"/>
    </row>
    <row r="66" spans="1:14" x14ac:dyDescent="0.25">
      <c r="A66" s="49"/>
      <c r="B66" s="50" t="s">
        <v>183</v>
      </c>
      <c r="C66" s="51" t="s">
        <v>90</v>
      </c>
      <c r="D66" s="50">
        <v>1</v>
      </c>
      <c r="E66" s="50">
        <v>1</v>
      </c>
      <c r="F66" s="50">
        <v>1</v>
      </c>
      <c r="G66" s="50">
        <f t="shared" si="11"/>
        <v>8.3333333333333329E-2</v>
      </c>
      <c r="H66" s="103">
        <f t="shared" si="9"/>
        <v>4.0492387431162943E-3</v>
      </c>
      <c r="I66" s="272">
        <f t="shared" si="12"/>
        <v>66.368030400000009</v>
      </c>
      <c r="J66" s="55">
        <f t="shared" si="10"/>
        <v>0.26874000000000003</v>
      </c>
      <c r="K66" s="195">
        <f>49*13.4%+49</f>
        <v>55.566000000000003</v>
      </c>
      <c r="L66" s="48"/>
      <c r="M66" s="48"/>
    </row>
    <row r="67" spans="1:14" x14ac:dyDescent="0.25">
      <c r="A67" s="49"/>
      <c r="B67" s="50" t="s">
        <v>184</v>
      </c>
      <c r="C67" s="51" t="s">
        <v>90</v>
      </c>
      <c r="D67" s="50">
        <v>1</v>
      </c>
      <c r="E67" s="50">
        <v>1</v>
      </c>
      <c r="F67" s="50">
        <v>1</v>
      </c>
      <c r="G67" s="50">
        <f t="shared" si="11"/>
        <v>8.3333333333333329E-2</v>
      </c>
      <c r="H67" s="103">
        <f t="shared" si="9"/>
        <v>4.0492387431162943E-3</v>
      </c>
      <c r="I67" s="272">
        <f t="shared" si="12"/>
        <v>66.368030400000009</v>
      </c>
      <c r="J67" s="55">
        <f t="shared" si="10"/>
        <v>0.26874000000000003</v>
      </c>
      <c r="K67" s="195">
        <f t="shared" ref="K67:K68" si="13">49*13.4%+49</f>
        <v>55.566000000000003</v>
      </c>
      <c r="L67" s="48"/>
      <c r="M67" s="48"/>
    </row>
    <row r="68" spans="1:14" x14ac:dyDescent="0.25">
      <c r="A68" s="49"/>
      <c r="B68" s="50" t="s">
        <v>185</v>
      </c>
      <c r="C68" s="51" t="s">
        <v>90</v>
      </c>
      <c r="D68" s="50">
        <v>1</v>
      </c>
      <c r="E68" s="50">
        <v>1</v>
      </c>
      <c r="F68" s="50">
        <v>1</v>
      </c>
      <c r="G68" s="50">
        <f t="shared" si="11"/>
        <v>8.3333333333333329E-2</v>
      </c>
      <c r="H68" s="103">
        <f t="shared" si="9"/>
        <v>4.0492387431162943E-3</v>
      </c>
      <c r="I68" s="272">
        <f t="shared" si="12"/>
        <v>66.368030400000009</v>
      </c>
      <c r="J68" s="55">
        <f t="shared" si="10"/>
        <v>0.26874000000000003</v>
      </c>
      <c r="K68" s="195">
        <f t="shared" si="13"/>
        <v>55.566000000000003</v>
      </c>
      <c r="L68" s="48"/>
      <c r="M68" s="48"/>
    </row>
    <row r="69" spans="1:14" x14ac:dyDescent="0.25">
      <c r="A69" s="49"/>
      <c r="B69" s="50" t="s">
        <v>186</v>
      </c>
      <c r="C69" s="51" t="s">
        <v>90</v>
      </c>
      <c r="D69" s="50">
        <v>1</v>
      </c>
      <c r="E69" s="50">
        <v>1</v>
      </c>
      <c r="F69" s="50">
        <v>1</v>
      </c>
      <c r="G69" s="50">
        <f t="shared" si="11"/>
        <v>8.3333333333333329E-2</v>
      </c>
      <c r="H69" s="103">
        <f t="shared" si="9"/>
        <v>4.0492387431162943E-3</v>
      </c>
      <c r="I69" s="272">
        <f t="shared" si="12"/>
        <v>93.4570224</v>
      </c>
      <c r="J69" s="55">
        <f t="shared" si="10"/>
        <v>0.37842979591836734</v>
      </c>
      <c r="K69" s="195">
        <f>69*13.4%+69</f>
        <v>78.245999999999995</v>
      </c>
      <c r="L69" s="48"/>
      <c r="M69" s="48"/>
    </row>
    <row r="70" spans="1:14" ht="13.5" thickBot="1" x14ac:dyDescent="0.3">
      <c r="A70" s="93"/>
      <c r="B70" s="94"/>
      <c r="C70" s="94"/>
      <c r="D70" s="94"/>
      <c r="E70" s="94"/>
      <c r="F70" s="94"/>
      <c r="G70" s="94"/>
      <c r="H70" s="94"/>
      <c r="I70" s="271"/>
      <c r="J70" s="104">
        <f>SUM(J62:J69)</f>
        <v>1.2855644081632653</v>
      </c>
      <c r="K70" s="57"/>
      <c r="L70" s="105"/>
      <c r="M70" s="105"/>
    </row>
    <row r="71" spans="1:14" x14ac:dyDescent="0.25">
      <c r="A71" s="95"/>
      <c r="B71" s="48"/>
      <c r="C71" s="48"/>
      <c r="D71" s="48"/>
      <c r="E71" s="48"/>
      <c r="F71" s="48"/>
      <c r="G71" s="48"/>
      <c r="H71" s="48"/>
      <c r="I71" s="48"/>
      <c r="J71" s="57"/>
      <c r="K71" s="57"/>
      <c r="L71" s="105"/>
      <c r="M71" s="105"/>
    </row>
    <row r="72" spans="1:14" ht="62.25" hidden="1" customHeight="1" x14ac:dyDescent="0.25">
      <c r="A72" s="95"/>
      <c r="B72" s="374" t="s">
        <v>275</v>
      </c>
      <c r="C72" s="374"/>
      <c r="D72" s="374"/>
      <c r="E72" s="374"/>
      <c r="F72" s="374"/>
      <c r="G72" s="374"/>
      <c r="H72" s="150"/>
      <c r="I72" s="150"/>
      <c r="J72" s="57"/>
      <c r="K72" s="57"/>
      <c r="L72" s="105"/>
      <c r="M72" s="105"/>
    </row>
    <row r="73" spans="1:14" ht="13.5" hidden="1" thickBot="1" x14ac:dyDescent="0.3">
      <c r="A73" s="95"/>
      <c r="B73" s="48"/>
      <c r="C73" s="48"/>
      <c r="D73" s="48"/>
      <c r="E73" s="48"/>
      <c r="F73" s="48"/>
      <c r="G73" s="48"/>
      <c r="H73" s="48"/>
      <c r="I73" s="48"/>
      <c r="J73" s="57"/>
      <c r="K73" s="57"/>
      <c r="L73" s="48"/>
      <c r="M73" s="48"/>
    </row>
    <row r="74" spans="1:14" ht="16.5" hidden="1" customHeight="1" x14ac:dyDescent="0.25">
      <c r="A74" s="95"/>
      <c r="B74" s="106" t="s">
        <v>112</v>
      </c>
      <c r="C74" s="107">
        <f>J21</f>
        <v>5.7665037605118243</v>
      </c>
      <c r="D74" s="35"/>
      <c r="E74" s="152">
        <f>C74/C79</f>
        <v>0.25721961909683988</v>
      </c>
      <c r="F74" s="48"/>
      <c r="G74" s="48"/>
      <c r="H74" s="48"/>
      <c r="I74" s="48"/>
      <c r="J74" s="57"/>
      <c r="K74" s="57"/>
      <c r="L74" s="48"/>
      <c r="M74" s="48"/>
    </row>
    <row r="75" spans="1:14" ht="27" hidden="1" customHeight="1" x14ac:dyDescent="0.25">
      <c r="A75" s="41"/>
      <c r="B75" s="108" t="s">
        <v>113</v>
      </c>
      <c r="C75" s="109">
        <f>H37</f>
        <v>1.1951800163265309</v>
      </c>
      <c r="D75" s="35"/>
      <c r="E75" s="153">
        <f>C75/C79</f>
        <v>5.3311982670827006E-2</v>
      </c>
      <c r="F75" s="41"/>
      <c r="G75" s="41"/>
      <c r="H75" s="41"/>
      <c r="I75" s="41"/>
      <c r="J75" s="41"/>
      <c r="K75" s="41"/>
    </row>
    <row r="76" spans="1:14" hidden="1" x14ac:dyDescent="0.25">
      <c r="A76" s="95"/>
      <c r="B76" s="108" t="s">
        <v>114</v>
      </c>
      <c r="C76" s="109">
        <f>J70</f>
        <v>1.2855644081632653</v>
      </c>
      <c r="D76" s="35"/>
      <c r="E76" s="153">
        <f>C76/C79</f>
        <v>5.7343652432277195E-2</v>
      </c>
      <c r="F76" s="90"/>
      <c r="G76" s="90"/>
      <c r="H76" s="90"/>
      <c r="I76" s="57"/>
      <c r="J76" s="48"/>
      <c r="K76" s="48"/>
      <c r="L76" s="48"/>
      <c r="M76" s="48"/>
      <c r="N76" s="48"/>
    </row>
    <row r="77" spans="1:14" hidden="1" x14ac:dyDescent="0.25">
      <c r="A77" s="95"/>
      <c r="B77" s="108" t="s">
        <v>115</v>
      </c>
      <c r="C77" s="109">
        <f>H57</f>
        <v>7.7660375510204096</v>
      </c>
      <c r="D77" s="35"/>
      <c r="E77" s="153">
        <f>C77/C79</f>
        <v>0.34641046008577014</v>
      </c>
      <c r="F77" s="48"/>
      <c r="G77" s="48"/>
      <c r="H77" s="48"/>
      <c r="I77" s="48"/>
      <c r="J77" s="57"/>
      <c r="K77" s="57"/>
      <c r="L77" s="57"/>
      <c r="M77" s="57"/>
      <c r="N77" s="48"/>
    </row>
    <row r="78" spans="1:14" ht="76.5" hidden="1" x14ac:dyDescent="0.2">
      <c r="A78" s="95"/>
      <c r="B78" s="110" t="s">
        <v>116</v>
      </c>
      <c r="C78" s="273">
        <f>(J21+H37+H57+J70)*40%</f>
        <v>6.4053142944088126</v>
      </c>
      <c r="D78" s="35"/>
      <c r="E78" s="153">
        <f>C78/C79</f>
        <v>0.2857142857142857</v>
      </c>
      <c r="F78" s="48"/>
      <c r="G78" s="48"/>
      <c r="H78" s="48"/>
      <c r="I78" s="48"/>
      <c r="J78" s="57"/>
      <c r="K78" s="57"/>
      <c r="L78" s="57"/>
      <c r="M78" s="57"/>
      <c r="N78" s="48"/>
    </row>
    <row r="79" spans="1:14" ht="13.5" hidden="1" thickBot="1" x14ac:dyDescent="0.3">
      <c r="A79" s="48"/>
      <c r="B79" s="111" t="s">
        <v>187</v>
      </c>
      <c r="C79" s="112">
        <f>SUM(C74:C78)</f>
        <v>22.418600030430845</v>
      </c>
      <c r="D79" s="35"/>
      <c r="E79" s="154">
        <f>SUM(E74:E78)</f>
        <v>0.99999999999999989</v>
      </c>
      <c r="F79" s="48"/>
      <c r="G79" s="48"/>
      <c r="H79" s="48"/>
      <c r="I79" s="48"/>
      <c r="J79" s="48"/>
      <c r="K79" s="48"/>
      <c r="L79" s="48"/>
      <c r="M79" s="48"/>
      <c r="N79" s="48"/>
    </row>
    <row r="80" spans="1:14" hidden="1" x14ac:dyDescent="0.25">
      <c r="A80" s="48"/>
      <c r="B80" s="48"/>
      <c r="C80" s="57"/>
      <c r="D80" s="57"/>
      <c r="E80" s="48"/>
      <c r="F80" s="48"/>
      <c r="G80" s="48"/>
      <c r="H80" s="48"/>
      <c r="I80" s="48"/>
      <c r="J80" s="48"/>
      <c r="K80" s="48"/>
      <c r="L80" s="48"/>
      <c r="M80" s="48"/>
      <c r="N80" s="48"/>
    </row>
    <row r="81" spans="1:14" ht="13.5" hidden="1" thickBot="1" x14ac:dyDescent="0.3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</row>
    <row r="82" spans="1:14" hidden="1" x14ac:dyDescent="0.25">
      <c r="A82" s="48"/>
      <c r="B82" s="106" t="s">
        <v>112</v>
      </c>
      <c r="C82" s="107">
        <f>J21</f>
        <v>5.7665037605118243</v>
      </c>
      <c r="D82" s="48"/>
      <c r="E82" s="152">
        <f>C82/C87</f>
        <v>0.36706679591651048</v>
      </c>
      <c r="F82" s="48"/>
      <c r="G82" s="48"/>
      <c r="H82" s="48"/>
      <c r="I82" s="48"/>
      <c r="J82" s="48"/>
      <c r="K82" s="48"/>
      <c r="L82" s="48"/>
      <c r="M82" s="48"/>
      <c r="N82" s="48"/>
    </row>
    <row r="83" spans="1:14" ht="25.5" hidden="1" x14ac:dyDescent="0.25">
      <c r="A83" s="48"/>
      <c r="B83" s="108" t="s">
        <v>113</v>
      </c>
      <c r="C83" s="109">
        <f>H51</f>
        <v>2.2514927510204084</v>
      </c>
      <c r="D83" s="48"/>
      <c r="E83" s="153">
        <f>C83/C87</f>
        <v>0.14331877069181986</v>
      </c>
      <c r="F83" s="48"/>
      <c r="G83" s="48"/>
      <c r="H83" s="48"/>
      <c r="I83" s="48"/>
      <c r="J83" s="48"/>
      <c r="K83" s="48"/>
      <c r="L83" s="48"/>
      <c r="M83" s="48"/>
      <c r="N83" s="48"/>
    </row>
    <row r="84" spans="1:14" hidden="1" x14ac:dyDescent="0.25">
      <c r="A84" s="48"/>
      <c r="B84" s="108" t="s">
        <v>114</v>
      </c>
      <c r="C84" s="109">
        <f>J70</f>
        <v>1.2855644081632653</v>
      </c>
      <c r="D84" s="48"/>
      <c r="E84" s="153">
        <f>C84/C87</f>
        <v>8.1832602187865561E-2</v>
      </c>
      <c r="F84" s="48"/>
      <c r="G84" s="48"/>
      <c r="H84" s="48"/>
      <c r="I84" s="48"/>
      <c r="J84" s="48"/>
      <c r="K84" s="48"/>
      <c r="L84" s="48"/>
      <c r="M84" s="48"/>
      <c r="N84" s="48"/>
    </row>
    <row r="85" spans="1:14" hidden="1" x14ac:dyDescent="0.25">
      <c r="A85" s="48"/>
      <c r="B85" s="108" t="s">
        <v>115</v>
      </c>
      <c r="C85" s="109">
        <f>H65</f>
        <v>8.0984774862325891E-4</v>
      </c>
      <c r="D85" s="48"/>
      <c r="E85" s="153">
        <f>C85/C87</f>
        <v>5.1550858303949892E-5</v>
      </c>
      <c r="F85" s="48"/>
      <c r="G85" s="48"/>
      <c r="H85" s="48"/>
      <c r="I85" s="48"/>
      <c r="J85" s="48"/>
      <c r="K85" s="48"/>
      <c r="L85" s="48"/>
      <c r="M85" s="48"/>
      <c r="N85" s="48"/>
    </row>
    <row r="86" spans="1:14" ht="76.5" hidden="1" x14ac:dyDescent="0.2">
      <c r="A86" s="48"/>
      <c r="B86" s="110" t="s">
        <v>116</v>
      </c>
      <c r="C86" s="273">
        <f>C78</f>
        <v>6.4053142944088126</v>
      </c>
      <c r="D86" s="48"/>
      <c r="E86" s="153">
        <f>C86/C87</f>
        <v>0.40773028034550013</v>
      </c>
      <c r="F86" s="48"/>
      <c r="G86" s="48"/>
      <c r="H86" s="48"/>
      <c r="I86" s="48"/>
      <c r="J86" s="48"/>
      <c r="K86" s="48"/>
      <c r="L86" s="48"/>
      <c r="M86" s="48"/>
      <c r="N86" s="48"/>
    </row>
    <row r="87" spans="1:14" ht="13.5" hidden="1" thickBot="1" x14ac:dyDescent="0.3">
      <c r="A87" s="48"/>
      <c r="B87" s="111" t="s">
        <v>187</v>
      </c>
      <c r="C87" s="112">
        <f>SUM(C82:C86)</f>
        <v>15.709685061852934</v>
      </c>
      <c r="D87" s="105"/>
      <c r="E87" s="154">
        <f>SUM(E82:E86)</f>
        <v>1</v>
      </c>
      <c r="F87" s="48"/>
      <c r="G87" s="48"/>
      <c r="H87" s="48"/>
      <c r="I87" s="48"/>
      <c r="J87" s="48"/>
      <c r="K87" s="48"/>
      <c r="L87" s="48"/>
      <c r="M87" s="48"/>
      <c r="N87" s="48"/>
    </row>
    <row r="88" spans="1:14" hidden="1" x14ac:dyDescent="0.25">
      <c r="A88" s="48"/>
      <c r="B88" s="48"/>
      <c r="C88" s="341"/>
      <c r="D88" s="341"/>
      <c r="E88" s="113"/>
      <c r="F88" s="48"/>
      <c r="G88" s="48"/>
      <c r="H88" s="48"/>
      <c r="I88" s="48"/>
      <c r="J88" s="48"/>
      <c r="K88" s="48"/>
      <c r="L88" s="48"/>
      <c r="M88" s="48"/>
      <c r="N88" s="48"/>
    </row>
    <row r="89" spans="1:14" ht="15.75" customHeight="1" x14ac:dyDescent="0.25">
      <c r="A89" s="48"/>
      <c r="B89" s="48"/>
      <c r="C89" s="341"/>
      <c r="D89" s="341"/>
      <c r="E89" s="113"/>
      <c r="F89" s="48"/>
      <c r="G89" s="48"/>
      <c r="H89" s="48"/>
      <c r="I89" s="48"/>
      <c r="J89" s="48"/>
      <c r="K89" s="48"/>
      <c r="L89" s="48"/>
      <c r="M89" s="48"/>
      <c r="N89" s="48"/>
    </row>
    <row r="90" spans="1:14" x14ac:dyDescent="0.25">
      <c r="A90" s="48"/>
      <c r="B90" s="48"/>
      <c r="C90" s="341"/>
      <c r="D90" s="341"/>
      <c r="E90" s="113"/>
      <c r="F90" s="48"/>
      <c r="G90" s="48"/>
      <c r="H90" s="48"/>
      <c r="I90" s="48"/>
      <c r="J90" s="48"/>
      <c r="K90" s="48"/>
      <c r="L90" s="48"/>
      <c r="M90" s="48"/>
      <c r="N90" s="48"/>
    </row>
    <row r="91" spans="1:14" x14ac:dyDescent="0.25">
      <c r="A91" s="48"/>
      <c r="B91" s="48"/>
      <c r="C91" s="341"/>
      <c r="D91" s="341"/>
      <c r="E91" s="113"/>
      <c r="F91" s="48"/>
      <c r="G91" s="48"/>
      <c r="H91" s="48"/>
      <c r="I91" s="48"/>
      <c r="J91" s="48"/>
      <c r="K91" s="48"/>
      <c r="L91" s="48"/>
      <c r="M91" s="48"/>
      <c r="N91" s="48"/>
    </row>
    <row r="92" spans="1:14" x14ac:dyDescent="0.25">
      <c r="A92" s="48"/>
      <c r="B92" s="48"/>
      <c r="C92" s="341"/>
      <c r="D92" s="341"/>
      <c r="E92" s="48"/>
      <c r="F92" s="48"/>
      <c r="G92" s="48"/>
      <c r="H92" s="48"/>
      <c r="I92" s="48"/>
      <c r="J92" s="48"/>
      <c r="K92" s="48"/>
      <c r="L92" s="48"/>
      <c r="M92" s="48"/>
      <c r="N92" s="48"/>
    </row>
    <row r="93" spans="1:14" x14ac:dyDescent="0.25">
      <c r="A93" s="48"/>
      <c r="B93" s="48"/>
      <c r="C93" s="341"/>
      <c r="D93" s="341"/>
      <c r="E93" s="48"/>
      <c r="F93" s="48"/>
      <c r="G93" s="48"/>
      <c r="H93" s="48"/>
      <c r="I93" s="48"/>
      <c r="J93" s="48"/>
      <c r="K93" s="48"/>
      <c r="L93" s="48"/>
      <c r="M93" s="48"/>
      <c r="N93" s="48"/>
    </row>
    <row r="94" spans="1:14" x14ac:dyDescent="0.25">
      <c r="A94" s="48"/>
      <c r="B94" s="48"/>
      <c r="C94" s="341"/>
      <c r="D94" s="341"/>
      <c r="E94" s="48"/>
      <c r="F94" s="48"/>
      <c r="G94" s="48"/>
      <c r="H94" s="48"/>
      <c r="I94" s="48"/>
      <c r="J94" s="48"/>
      <c r="K94" s="48"/>
      <c r="L94" s="48"/>
      <c r="M94" s="48"/>
      <c r="N94" s="48"/>
    </row>
    <row r="95" spans="1:14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</row>
  </sheetData>
  <mergeCells count="26">
    <mergeCell ref="A20:B20"/>
    <mergeCell ref="C92:D92"/>
    <mergeCell ref="C93:D93"/>
    <mergeCell ref="C94:D94"/>
    <mergeCell ref="B59:J59"/>
    <mergeCell ref="C88:D88"/>
    <mergeCell ref="C89:D89"/>
    <mergeCell ref="C90:D90"/>
    <mergeCell ref="C91:D91"/>
    <mergeCell ref="B72:G72"/>
    <mergeCell ref="C54:H54"/>
    <mergeCell ref="A23:K23"/>
    <mergeCell ref="K6:K8"/>
    <mergeCell ref="A13:B13"/>
    <mergeCell ref="A15:J15"/>
    <mergeCell ref="A1:J1"/>
    <mergeCell ref="A4:J4"/>
    <mergeCell ref="A6:A8"/>
    <mergeCell ref="C6:C8"/>
    <mergeCell ref="D6:D8"/>
    <mergeCell ref="E6:E8"/>
    <mergeCell ref="F6:F8"/>
    <mergeCell ref="G6:G8"/>
    <mergeCell ref="H6:H8"/>
    <mergeCell ref="I6:I8"/>
    <mergeCell ref="J6:J8"/>
  </mergeCells>
  <pageMargins left="0.43307086614173229" right="0" top="0.51181102362204722" bottom="0" header="0.51181102362204722" footer="0.19685039370078741"/>
  <pageSetup paperSize="9" scale="80" orientation="portrait" r:id="rId1"/>
  <headerFooter alignWithMargins="0"/>
  <rowBreaks count="2" manualBreakCount="2">
    <brk id="53" max="9" man="1"/>
    <brk id="88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view="pageBreakPreview" zoomScale="80" zoomScaleNormal="100" zoomScaleSheetLayoutView="80" workbookViewId="0">
      <selection activeCell="A2" sqref="A2:XFD4"/>
    </sheetView>
  </sheetViews>
  <sheetFormatPr defaultRowHeight="15" x14ac:dyDescent="0.25"/>
  <cols>
    <col min="2" max="2" width="26.5703125" customWidth="1"/>
  </cols>
  <sheetData>
    <row r="1" spans="1:12" ht="15.75" x14ac:dyDescent="0.25">
      <c r="A1" s="376" t="s">
        <v>224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2" x14ac:dyDescent="0.25">
      <c r="A2" s="149" t="s">
        <v>122</v>
      </c>
      <c r="L2" s="275">
        <v>0.19439999999999999</v>
      </c>
    </row>
    <row r="3" spans="1:12" ht="94.5" x14ac:dyDescent="0.25">
      <c r="A3" s="141" t="s">
        <v>194</v>
      </c>
      <c r="B3" s="141" t="s">
        <v>195</v>
      </c>
      <c r="C3" s="141" t="s">
        <v>196</v>
      </c>
      <c r="D3" s="141" t="s">
        <v>197</v>
      </c>
      <c r="E3" s="141" t="s">
        <v>198</v>
      </c>
      <c r="F3" s="141" t="s">
        <v>199</v>
      </c>
      <c r="G3" s="141" t="s">
        <v>200</v>
      </c>
      <c r="H3" s="141" t="s">
        <v>201</v>
      </c>
      <c r="I3" s="141" t="s">
        <v>202</v>
      </c>
      <c r="J3" s="141" t="s">
        <v>203</v>
      </c>
    </row>
    <row r="4" spans="1:12" ht="15.75" x14ac:dyDescent="0.25">
      <c r="A4" s="377" t="s">
        <v>204</v>
      </c>
      <c r="B4" s="377"/>
      <c r="C4" s="377"/>
      <c r="D4" s="377"/>
      <c r="E4" s="377"/>
      <c r="F4" s="377"/>
      <c r="G4" s="377"/>
      <c r="H4" s="377"/>
      <c r="I4" s="377"/>
      <c r="J4" s="377"/>
    </row>
    <row r="5" spans="1:12" ht="22.5" customHeight="1" x14ac:dyDescent="0.25">
      <c r="A5" s="141">
        <v>1</v>
      </c>
      <c r="B5" s="142" t="s">
        <v>205</v>
      </c>
      <c r="C5" s="141" t="s">
        <v>206</v>
      </c>
      <c r="D5" s="141">
        <v>2</v>
      </c>
      <c r="E5" s="141">
        <v>1</v>
      </c>
      <c r="F5" s="141">
        <v>2</v>
      </c>
      <c r="G5" s="141">
        <v>0.17</v>
      </c>
      <c r="H5" s="141">
        <v>8.0999999999999996E-3</v>
      </c>
      <c r="I5" s="277">
        <f>L5*$L$2+L5</f>
        <v>79.912526400000004</v>
      </c>
      <c r="J5" s="144">
        <f>I5*H5</f>
        <v>0.64729146384000003</v>
      </c>
      <c r="L5" s="274">
        <v>66.906000000000006</v>
      </c>
    </row>
    <row r="6" spans="1:12" ht="15.75" x14ac:dyDescent="0.25">
      <c r="A6" s="377" t="s">
        <v>142</v>
      </c>
      <c r="B6" s="377"/>
      <c r="C6" s="141"/>
      <c r="D6" s="141"/>
      <c r="E6" s="141"/>
      <c r="F6" s="141"/>
      <c r="G6" s="141"/>
      <c r="H6" s="141"/>
      <c r="I6" s="141"/>
      <c r="J6" s="145">
        <f>J5</f>
        <v>0.64729146384000003</v>
      </c>
    </row>
    <row r="7" spans="1:12" ht="94.5" x14ac:dyDescent="0.25">
      <c r="A7" s="141" t="s">
        <v>207</v>
      </c>
      <c r="B7" s="141" t="s">
        <v>195</v>
      </c>
      <c r="C7" s="141" t="s">
        <v>196</v>
      </c>
      <c r="D7" s="141" t="s">
        <v>197</v>
      </c>
      <c r="E7" s="141" t="s">
        <v>198</v>
      </c>
      <c r="F7" s="141" t="s">
        <v>199</v>
      </c>
      <c r="G7" s="141" t="s">
        <v>208</v>
      </c>
      <c r="H7" s="141" t="s">
        <v>209</v>
      </c>
      <c r="I7" s="141" t="s">
        <v>202</v>
      </c>
      <c r="J7" s="141" t="s">
        <v>203</v>
      </c>
    </row>
    <row r="8" spans="1:12" ht="15.75" customHeight="1" x14ac:dyDescent="0.25">
      <c r="A8" s="378" t="s">
        <v>210</v>
      </c>
      <c r="B8" s="379"/>
      <c r="C8" s="379"/>
      <c r="D8" s="379"/>
      <c r="E8" s="379"/>
      <c r="F8" s="379"/>
      <c r="G8" s="379"/>
      <c r="H8" s="379"/>
      <c r="I8" s="379"/>
      <c r="J8" s="380"/>
    </row>
    <row r="9" spans="1:12" ht="18.75" customHeight="1" x14ac:dyDescent="0.25">
      <c r="A9" s="141">
        <v>1</v>
      </c>
      <c r="B9" s="142" t="s">
        <v>211</v>
      </c>
      <c r="C9" s="143" t="s">
        <v>90</v>
      </c>
      <c r="D9" s="143">
        <v>40</v>
      </c>
      <c r="E9" s="143">
        <v>3</v>
      </c>
      <c r="F9" s="143">
        <v>13.3</v>
      </c>
      <c r="G9" s="143">
        <v>1.1100000000000001</v>
      </c>
      <c r="H9" s="143">
        <v>5.0000000000000001E-4</v>
      </c>
      <c r="I9" s="277">
        <f>L9*$L$2+L9</f>
        <v>33.861240000000002</v>
      </c>
      <c r="J9" s="146">
        <f>I9*H9</f>
        <v>1.693062E-2</v>
      </c>
      <c r="L9">
        <v>28.35</v>
      </c>
    </row>
    <row r="10" spans="1:12" ht="18.75" customHeight="1" x14ac:dyDescent="0.25">
      <c r="A10" s="141">
        <v>2</v>
      </c>
      <c r="B10" s="142" t="s">
        <v>212</v>
      </c>
      <c r="C10" s="143" t="s">
        <v>90</v>
      </c>
      <c r="D10" s="143">
        <v>20</v>
      </c>
      <c r="E10" s="143">
        <v>1</v>
      </c>
      <c r="F10" s="143">
        <v>20</v>
      </c>
      <c r="G10" s="143">
        <v>1.67</v>
      </c>
      <c r="H10" s="143">
        <v>8.0000000000000004E-4</v>
      </c>
      <c r="I10" s="277">
        <f>L10*$L$2+L10</f>
        <v>54.042539040000001</v>
      </c>
      <c r="J10" s="146">
        <f>I10*H10</f>
        <v>4.3234031232000002E-2</v>
      </c>
      <c r="L10">
        <v>45.246600000000001</v>
      </c>
    </row>
    <row r="11" spans="1:12" ht="18.75" customHeight="1" x14ac:dyDescent="0.25">
      <c r="A11" s="141">
        <v>3</v>
      </c>
      <c r="B11" s="142" t="s">
        <v>147</v>
      </c>
      <c r="C11" s="143" t="s">
        <v>148</v>
      </c>
      <c r="D11" s="143">
        <v>30</v>
      </c>
      <c r="E11" s="143">
        <v>5</v>
      </c>
      <c r="F11" s="143">
        <v>6</v>
      </c>
      <c r="G11" s="143">
        <v>0.5</v>
      </c>
      <c r="H11" s="143">
        <v>2.0000000000000001E-4</v>
      </c>
      <c r="I11" s="277">
        <f>L11*$L$2+L11</f>
        <v>93.4570224</v>
      </c>
      <c r="J11" s="146">
        <f>I11*H11</f>
        <v>1.869140448E-2</v>
      </c>
      <c r="L11">
        <v>78.245999999999995</v>
      </c>
    </row>
    <row r="12" spans="1:12" ht="69" customHeight="1" x14ac:dyDescent="0.25">
      <c r="A12" s="141">
        <v>4</v>
      </c>
      <c r="B12" s="142" t="s">
        <v>149</v>
      </c>
      <c r="C12" s="143" t="s">
        <v>148</v>
      </c>
      <c r="D12" s="143">
        <v>250</v>
      </c>
      <c r="E12" s="143">
        <v>3</v>
      </c>
      <c r="F12" s="143">
        <v>83.3</v>
      </c>
      <c r="G12" s="143">
        <v>6.94</v>
      </c>
      <c r="H12" s="143">
        <v>3.3999999999999998E-3</v>
      </c>
      <c r="I12" s="277">
        <f>L12*$L$2+L12</f>
        <v>58.376777759999996</v>
      </c>
      <c r="J12" s="146">
        <f>I12*H12</f>
        <v>0.19848104438399997</v>
      </c>
      <c r="L12">
        <v>48.875399999999999</v>
      </c>
    </row>
    <row r="13" spans="1:12" ht="15.75" x14ac:dyDescent="0.25">
      <c r="A13" s="377" t="s">
        <v>142</v>
      </c>
      <c r="B13" s="377"/>
      <c r="C13" s="143"/>
      <c r="D13" s="143"/>
      <c r="E13" s="143"/>
      <c r="F13" s="143"/>
      <c r="G13" s="143"/>
      <c r="H13" s="143"/>
      <c r="I13" s="143"/>
      <c r="J13" s="147">
        <f>SUM(J9:J12)</f>
        <v>0.27733710009599999</v>
      </c>
    </row>
    <row r="14" spans="1:12" ht="33" customHeight="1" x14ac:dyDescent="0.25">
      <c r="A14" s="377" t="s">
        <v>213</v>
      </c>
      <c r="B14" s="377"/>
      <c r="C14" s="141"/>
      <c r="D14" s="141"/>
      <c r="E14" s="141"/>
      <c r="F14" s="141"/>
      <c r="G14" s="141"/>
      <c r="H14" s="141"/>
      <c r="I14" s="141"/>
      <c r="J14" s="145">
        <f>J13+J6</f>
        <v>0.92462856393600001</v>
      </c>
    </row>
    <row r="18" spans="1:12" ht="15.75" thickBot="1" x14ac:dyDescent="0.3">
      <c r="A18" s="149" t="s">
        <v>150</v>
      </c>
    </row>
    <row r="19" spans="1:12" ht="45.75" customHeight="1" x14ac:dyDescent="0.25">
      <c r="A19" s="44" t="s">
        <v>123</v>
      </c>
      <c r="B19" s="45" t="s">
        <v>124</v>
      </c>
      <c r="C19" s="45" t="s">
        <v>125</v>
      </c>
      <c r="D19" s="45" t="s">
        <v>152</v>
      </c>
      <c r="E19" s="148" t="s">
        <v>153</v>
      </c>
      <c r="F19" s="83" t="s">
        <v>154</v>
      </c>
      <c r="G19" s="83" t="s">
        <v>131</v>
      </c>
      <c r="H19" s="84" t="s">
        <v>155</v>
      </c>
    </row>
    <row r="20" spans="1:12" x14ac:dyDescent="0.25">
      <c r="A20" s="86"/>
      <c r="B20" s="87" t="s">
        <v>156</v>
      </c>
      <c r="C20" s="51"/>
      <c r="D20" s="51"/>
      <c r="E20" s="129"/>
      <c r="F20" s="51"/>
      <c r="G20" s="51"/>
      <c r="H20" s="89"/>
    </row>
    <row r="21" spans="1:12" ht="14.25" customHeight="1" x14ac:dyDescent="0.25">
      <c r="A21" s="49">
        <v>1</v>
      </c>
      <c r="B21" s="50" t="s">
        <v>157</v>
      </c>
      <c r="C21" s="51" t="s">
        <v>158</v>
      </c>
      <c r="D21" s="52">
        <v>5</v>
      </c>
      <c r="E21" s="52">
        <f>D21/20</f>
        <v>0.25</v>
      </c>
      <c r="F21" s="91">
        <f>E21/20.58</f>
        <v>1.2147716229348883E-2</v>
      </c>
      <c r="G21" s="278">
        <f>L21*$L$2+L21</f>
        <v>21.671193599999999</v>
      </c>
      <c r="H21" s="89">
        <f>F21*G21</f>
        <v>0.26325551020408161</v>
      </c>
      <c r="L21" s="156">
        <v>18.143999999999998</v>
      </c>
    </row>
    <row r="22" spans="1:12" ht="14.25" customHeight="1" x14ac:dyDescent="0.25">
      <c r="A22" s="49">
        <v>2</v>
      </c>
      <c r="B22" s="50" t="s">
        <v>159</v>
      </c>
      <c r="C22" s="51" t="s">
        <v>158</v>
      </c>
      <c r="D22" s="52">
        <v>5</v>
      </c>
      <c r="E22" s="52">
        <f t="shared" ref="E22:E28" si="0">D22/20</f>
        <v>0.25</v>
      </c>
      <c r="F22" s="91">
        <f t="shared" ref="F22:F28" si="1">E22/20.58</f>
        <v>1.2147716229348883E-2</v>
      </c>
      <c r="G22" s="278">
        <f t="shared" ref="G22:G28" si="2">L22*$L$2+L22</f>
        <v>20.993968799999998</v>
      </c>
      <c r="H22" s="89">
        <f t="shared" ref="H22:H28" si="3">F22*G22</f>
        <v>0.25502877551020409</v>
      </c>
      <c r="L22" s="156">
        <v>17.576999999999998</v>
      </c>
    </row>
    <row r="23" spans="1:12" ht="14.25" customHeight="1" x14ac:dyDescent="0.25">
      <c r="A23" s="49">
        <v>3</v>
      </c>
      <c r="B23" s="50" t="s">
        <v>160</v>
      </c>
      <c r="C23" s="51" t="s">
        <v>161</v>
      </c>
      <c r="D23" s="52">
        <v>4</v>
      </c>
      <c r="E23" s="52">
        <f t="shared" si="0"/>
        <v>0.2</v>
      </c>
      <c r="F23" s="91">
        <f t="shared" si="1"/>
        <v>9.7181729834791078E-3</v>
      </c>
      <c r="G23" s="278">
        <f t="shared" si="2"/>
        <v>123.25491360000001</v>
      </c>
      <c r="H23" s="89">
        <f t="shared" si="3"/>
        <v>1.1978125714285717</v>
      </c>
      <c r="L23" s="156">
        <v>103.194</v>
      </c>
    </row>
    <row r="24" spans="1:12" ht="14.25" customHeight="1" x14ac:dyDescent="0.25">
      <c r="A24" s="49">
        <v>4</v>
      </c>
      <c r="B24" s="50" t="s">
        <v>162</v>
      </c>
      <c r="C24" s="51" t="s">
        <v>161</v>
      </c>
      <c r="D24" s="52">
        <v>1</v>
      </c>
      <c r="E24" s="52">
        <f t="shared" si="0"/>
        <v>0.05</v>
      </c>
      <c r="F24" s="91">
        <f t="shared" si="1"/>
        <v>2.4295432458697769E-3</v>
      </c>
      <c r="G24" s="278">
        <f t="shared" si="2"/>
        <v>88.039224000000004</v>
      </c>
      <c r="H24" s="89">
        <f t="shared" si="3"/>
        <v>0.21389510204081638</v>
      </c>
      <c r="L24" s="156">
        <v>73.710000000000008</v>
      </c>
    </row>
    <row r="25" spans="1:12" ht="14.25" customHeight="1" x14ac:dyDescent="0.25">
      <c r="A25" s="49">
        <v>5</v>
      </c>
      <c r="B25" s="50" t="s">
        <v>163</v>
      </c>
      <c r="C25" s="51" t="s">
        <v>164</v>
      </c>
      <c r="D25" s="52">
        <v>1</v>
      </c>
      <c r="E25" s="52">
        <f t="shared" si="0"/>
        <v>0.05</v>
      </c>
      <c r="F25" s="91">
        <f t="shared" si="1"/>
        <v>2.4295432458697769E-3</v>
      </c>
      <c r="G25" s="278">
        <f t="shared" si="2"/>
        <v>41.987937599999995</v>
      </c>
      <c r="H25" s="89">
        <f t="shared" si="3"/>
        <v>0.10201151020408164</v>
      </c>
      <c r="L25" s="156">
        <v>35.153999999999996</v>
      </c>
    </row>
    <row r="26" spans="1:12" ht="14.25" customHeight="1" x14ac:dyDescent="0.25">
      <c r="A26" s="49">
        <v>6</v>
      </c>
      <c r="B26" s="50" t="s">
        <v>165</v>
      </c>
      <c r="C26" s="51" t="s">
        <v>90</v>
      </c>
      <c r="D26" s="52">
        <v>3</v>
      </c>
      <c r="E26" s="52">
        <f t="shared" si="0"/>
        <v>0.15</v>
      </c>
      <c r="F26" s="91">
        <f t="shared" si="1"/>
        <v>7.28862973760933E-3</v>
      </c>
      <c r="G26" s="278">
        <f t="shared" si="2"/>
        <v>20.181299039999999</v>
      </c>
      <c r="H26" s="89">
        <f t="shared" si="3"/>
        <v>0.1470940163265306</v>
      </c>
      <c r="L26" s="156">
        <v>16.896599999999999</v>
      </c>
    </row>
    <row r="27" spans="1:12" ht="14.25" customHeight="1" x14ac:dyDescent="0.25">
      <c r="A27" s="49">
        <v>7</v>
      </c>
      <c r="B27" s="50" t="s">
        <v>166</v>
      </c>
      <c r="C27" s="51" t="s">
        <v>90</v>
      </c>
      <c r="D27" s="52">
        <v>1</v>
      </c>
      <c r="E27" s="52">
        <f t="shared" si="0"/>
        <v>0.05</v>
      </c>
      <c r="F27" s="91">
        <f t="shared" si="1"/>
        <v>2.4295432458697769E-3</v>
      </c>
      <c r="G27" s="278">
        <f t="shared" si="2"/>
        <v>16.2533952</v>
      </c>
      <c r="H27" s="89">
        <f t="shared" si="3"/>
        <v>3.9488326530612253E-2</v>
      </c>
      <c r="L27" s="156">
        <v>13.608000000000001</v>
      </c>
    </row>
    <row r="28" spans="1:12" ht="27.75" customHeight="1" x14ac:dyDescent="0.25">
      <c r="A28" s="49">
        <v>8</v>
      </c>
      <c r="B28" s="50" t="s">
        <v>167</v>
      </c>
      <c r="C28" s="51" t="s">
        <v>148</v>
      </c>
      <c r="D28" s="52">
        <v>0.5</v>
      </c>
      <c r="E28" s="52">
        <f t="shared" si="0"/>
        <v>2.5000000000000001E-2</v>
      </c>
      <c r="F28" s="91">
        <f t="shared" si="1"/>
        <v>1.2147716229348885E-3</v>
      </c>
      <c r="G28" s="278">
        <f t="shared" si="2"/>
        <v>27.088991999999998</v>
      </c>
      <c r="H28" s="89">
        <f t="shared" si="3"/>
        <v>3.2906938775510208E-2</v>
      </c>
      <c r="L28" s="156">
        <v>22.68</v>
      </c>
    </row>
    <row r="29" spans="1:12" ht="15.75" thickBot="1" x14ac:dyDescent="0.3">
      <c r="A29" s="93"/>
      <c r="B29" s="94"/>
      <c r="C29" s="94"/>
      <c r="D29" s="94"/>
      <c r="E29" s="94"/>
      <c r="F29" s="94"/>
      <c r="G29" s="94"/>
      <c r="H29" s="120">
        <f>SUM(H21:H28)</f>
        <v>2.2514927510204084</v>
      </c>
    </row>
    <row r="31" spans="1:12" ht="15.75" thickBot="1" x14ac:dyDescent="0.3">
      <c r="A31" s="149" t="s">
        <v>175</v>
      </c>
    </row>
    <row r="32" spans="1:12" ht="64.5" x14ac:dyDescent="0.25">
      <c r="A32" s="44" t="s">
        <v>123</v>
      </c>
      <c r="B32" s="45" t="s">
        <v>124</v>
      </c>
      <c r="C32" s="45" t="s">
        <v>125</v>
      </c>
      <c r="D32" s="45" t="s">
        <v>126</v>
      </c>
      <c r="E32" s="45" t="s">
        <v>127</v>
      </c>
      <c r="F32" s="45" t="s">
        <v>128</v>
      </c>
      <c r="G32" s="102" t="s">
        <v>176</v>
      </c>
      <c r="H32" s="45" t="s">
        <v>177</v>
      </c>
      <c r="I32" s="45" t="s">
        <v>131</v>
      </c>
      <c r="J32" s="46" t="s">
        <v>178</v>
      </c>
    </row>
    <row r="33" spans="1:12" ht="15.75" x14ac:dyDescent="0.25">
      <c r="A33" s="49">
        <v>1</v>
      </c>
      <c r="B33" s="123" t="s">
        <v>179</v>
      </c>
      <c r="C33" s="50" t="s">
        <v>90</v>
      </c>
      <c r="D33" s="50">
        <v>1</v>
      </c>
      <c r="E33" s="50">
        <v>5</v>
      </c>
      <c r="F33" s="50">
        <v>0.2</v>
      </c>
      <c r="G33" s="50">
        <f>F33/12</f>
        <v>1.6666666666666666E-2</v>
      </c>
      <c r="H33" s="103">
        <f>G33/20.58</f>
        <v>8.0984774862325891E-4</v>
      </c>
      <c r="I33" s="279">
        <f>L33*$L$2+L33</f>
        <v>27.088991999999998</v>
      </c>
      <c r="J33" s="55">
        <f t="shared" ref="J33:J40" si="4">H33*I33</f>
        <v>2.1937959183673469E-2</v>
      </c>
      <c r="L33" s="177">
        <v>22.68</v>
      </c>
    </row>
    <row r="34" spans="1:12" ht="15.75" customHeight="1" x14ac:dyDescent="0.25">
      <c r="A34" s="49">
        <v>2</v>
      </c>
      <c r="B34" s="119" t="s">
        <v>180</v>
      </c>
      <c r="C34" s="50" t="s">
        <v>90</v>
      </c>
      <c r="D34" s="50">
        <v>1</v>
      </c>
      <c r="E34" s="50">
        <v>5</v>
      </c>
      <c r="F34" s="50">
        <v>0.2</v>
      </c>
      <c r="G34" s="50">
        <f t="shared" ref="G34:G40" si="5">F34/12</f>
        <v>1.6666666666666666E-2</v>
      </c>
      <c r="H34" s="103">
        <f t="shared" ref="H34:H40" si="6">G34/20.58</f>
        <v>8.0984774862325891E-4</v>
      </c>
      <c r="I34" s="279">
        <f t="shared" ref="I34:I40" si="7">L34*$L$2+L34</f>
        <v>20.316744</v>
      </c>
      <c r="J34" s="55">
        <f t="shared" si="4"/>
        <v>1.6453469387755104E-2</v>
      </c>
      <c r="L34" s="177">
        <v>17.010000000000002</v>
      </c>
    </row>
    <row r="35" spans="1:12" x14ac:dyDescent="0.25">
      <c r="A35" s="49">
        <v>3</v>
      </c>
      <c r="B35" s="50" t="s">
        <v>181</v>
      </c>
      <c r="C35" s="50" t="s">
        <v>90</v>
      </c>
      <c r="D35" s="50">
        <v>1</v>
      </c>
      <c r="E35" s="50">
        <v>5</v>
      </c>
      <c r="F35" s="50">
        <v>0.2</v>
      </c>
      <c r="G35" s="50">
        <f t="shared" si="5"/>
        <v>1.6666666666666666E-2</v>
      </c>
      <c r="H35" s="103">
        <f t="shared" si="6"/>
        <v>8.0984774862325891E-4</v>
      </c>
      <c r="I35" s="279">
        <f t="shared" si="7"/>
        <v>20.316744</v>
      </c>
      <c r="J35" s="55">
        <f t="shared" si="4"/>
        <v>1.6453469387755104E-2</v>
      </c>
      <c r="L35" s="177">
        <v>17.010000000000002</v>
      </c>
    </row>
    <row r="36" spans="1:12" x14ac:dyDescent="0.25">
      <c r="A36" s="49">
        <v>4</v>
      </c>
      <c r="B36" s="50" t="s">
        <v>182</v>
      </c>
      <c r="C36" s="50" t="s">
        <v>90</v>
      </c>
      <c r="D36" s="50">
        <v>1</v>
      </c>
      <c r="E36" s="50">
        <v>5</v>
      </c>
      <c r="F36" s="50">
        <v>0.2</v>
      </c>
      <c r="G36" s="50">
        <f t="shared" si="5"/>
        <v>1.6666666666666666E-2</v>
      </c>
      <c r="H36" s="103">
        <f t="shared" si="6"/>
        <v>8.0984774862325891E-4</v>
      </c>
      <c r="I36" s="279">
        <f t="shared" si="7"/>
        <v>56.8868832</v>
      </c>
      <c r="J36" s="55">
        <f t="shared" si="4"/>
        <v>4.606971428571429E-2</v>
      </c>
      <c r="L36" s="177">
        <v>47.628</v>
      </c>
    </row>
    <row r="37" spans="1:12" x14ac:dyDescent="0.25">
      <c r="A37" s="49">
        <v>5</v>
      </c>
      <c r="B37" s="50" t="s">
        <v>183</v>
      </c>
      <c r="C37" s="50" t="s">
        <v>90</v>
      </c>
      <c r="D37" s="50">
        <v>1</v>
      </c>
      <c r="E37" s="50">
        <v>1</v>
      </c>
      <c r="F37" s="50">
        <v>1</v>
      </c>
      <c r="G37" s="50">
        <f t="shared" si="5"/>
        <v>8.3333333333333329E-2</v>
      </c>
      <c r="H37" s="103">
        <f t="shared" si="6"/>
        <v>4.0492387431162943E-3</v>
      </c>
      <c r="I37" s="279">
        <f t="shared" si="7"/>
        <v>66.368030400000009</v>
      </c>
      <c r="J37" s="55">
        <f t="shared" si="4"/>
        <v>0.26874000000000003</v>
      </c>
      <c r="L37" s="177">
        <v>55.566000000000003</v>
      </c>
    </row>
    <row r="38" spans="1:12" x14ac:dyDescent="0.25">
      <c r="A38" s="49">
        <v>6</v>
      </c>
      <c r="B38" s="50" t="s">
        <v>184</v>
      </c>
      <c r="C38" s="50" t="s">
        <v>90</v>
      </c>
      <c r="D38" s="50">
        <v>1</v>
      </c>
      <c r="E38" s="50">
        <v>1</v>
      </c>
      <c r="F38" s="50">
        <v>1</v>
      </c>
      <c r="G38" s="50">
        <f t="shared" si="5"/>
        <v>8.3333333333333329E-2</v>
      </c>
      <c r="H38" s="103">
        <f t="shared" si="6"/>
        <v>4.0492387431162943E-3</v>
      </c>
      <c r="I38" s="279">
        <f t="shared" si="7"/>
        <v>66.368030400000009</v>
      </c>
      <c r="J38" s="55">
        <f t="shared" si="4"/>
        <v>0.26874000000000003</v>
      </c>
      <c r="L38" s="177">
        <v>55.566000000000003</v>
      </c>
    </row>
    <row r="39" spans="1:12" x14ac:dyDescent="0.25">
      <c r="A39" s="49">
        <v>7</v>
      </c>
      <c r="B39" s="50" t="s">
        <v>185</v>
      </c>
      <c r="C39" s="50" t="s">
        <v>90</v>
      </c>
      <c r="D39" s="50">
        <v>1</v>
      </c>
      <c r="E39" s="50">
        <v>1</v>
      </c>
      <c r="F39" s="50">
        <v>1</v>
      </c>
      <c r="G39" s="50">
        <f t="shared" si="5"/>
        <v>8.3333333333333329E-2</v>
      </c>
      <c r="H39" s="103">
        <f t="shared" si="6"/>
        <v>4.0492387431162943E-3</v>
      </c>
      <c r="I39" s="279">
        <f t="shared" si="7"/>
        <v>66.368030400000009</v>
      </c>
      <c r="J39" s="55">
        <f t="shared" si="4"/>
        <v>0.26874000000000003</v>
      </c>
      <c r="L39" s="177">
        <v>55.566000000000003</v>
      </c>
    </row>
    <row r="40" spans="1:12" x14ac:dyDescent="0.25">
      <c r="A40" s="49">
        <v>8</v>
      </c>
      <c r="B40" s="50" t="s">
        <v>186</v>
      </c>
      <c r="C40" s="50" t="s">
        <v>90</v>
      </c>
      <c r="D40" s="50">
        <v>1</v>
      </c>
      <c r="E40" s="50">
        <v>1</v>
      </c>
      <c r="F40" s="50">
        <v>1</v>
      </c>
      <c r="G40" s="50">
        <f t="shared" si="5"/>
        <v>8.3333333333333329E-2</v>
      </c>
      <c r="H40" s="103">
        <f t="shared" si="6"/>
        <v>4.0492387431162943E-3</v>
      </c>
      <c r="I40" s="279">
        <f t="shared" si="7"/>
        <v>93.4570224</v>
      </c>
      <c r="J40" s="55">
        <f t="shared" si="4"/>
        <v>0.37842979591836734</v>
      </c>
      <c r="L40" s="177">
        <v>78.245999999999995</v>
      </c>
    </row>
    <row r="41" spans="1:12" ht="15.75" thickBot="1" x14ac:dyDescent="0.3">
      <c r="A41" s="93"/>
      <c r="B41" s="94"/>
      <c r="C41" s="94"/>
      <c r="D41" s="94"/>
      <c r="E41" s="94"/>
      <c r="F41" s="94"/>
      <c r="G41" s="94"/>
      <c r="H41" s="94"/>
      <c r="I41" s="94"/>
      <c r="J41" s="104">
        <f>SUM(J33:J40)</f>
        <v>1.2855644081632653</v>
      </c>
    </row>
    <row r="43" spans="1:12" ht="15.75" thickBot="1" x14ac:dyDescent="0.3">
      <c r="I43" s="196"/>
    </row>
    <row r="44" spans="1:12" ht="17.25" customHeight="1" x14ac:dyDescent="0.25">
      <c r="B44" s="106" t="s">
        <v>112</v>
      </c>
      <c r="C44" s="107">
        <f>J14</f>
        <v>0.92462856393600001</v>
      </c>
    </row>
    <row r="45" spans="1:12" ht="27.75" customHeight="1" x14ac:dyDescent="0.25">
      <c r="B45" s="108" t="s">
        <v>113</v>
      </c>
      <c r="C45" s="109">
        <f>H29</f>
        <v>2.2514927510204084</v>
      </c>
    </row>
    <row r="46" spans="1:12" x14ac:dyDescent="0.25">
      <c r="B46" s="108" t="s">
        <v>114</v>
      </c>
      <c r="C46" s="109">
        <f>J41</f>
        <v>1.2855644081632653</v>
      </c>
    </row>
    <row r="47" spans="1:12" ht="25.5" x14ac:dyDescent="0.25">
      <c r="B47" s="108" t="s">
        <v>115</v>
      </c>
      <c r="C47" s="109">
        <v>0</v>
      </c>
    </row>
    <row r="48" spans="1:12" ht="90" customHeight="1" x14ac:dyDescent="0.25">
      <c r="B48" s="110" t="s">
        <v>116</v>
      </c>
      <c r="C48" s="184">
        <f>(J14+H29+J41)*40%</f>
        <v>1.7846742892478695</v>
      </c>
    </row>
    <row r="49" spans="2:3" ht="15.75" thickBot="1" x14ac:dyDescent="0.3">
      <c r="B49" s="111" t="s">
        <v>187</v>
      </c>
      <c r="C49" s="112">
        <f>SUM(C44:C48)</f>
        <v>6.2463600123675427</v>
      </c>
    </row>
    <row r="50" spans="2:3" x14ac:dyDescent="0.25">
      <c r="C50" s="156"/>
    </row>
  </sheetData>
  <mergeCells count="6">
    <mergeCell ref="A1:J1"/>
    <mergeCell ref="A4:J4"/>
    <mergeCell ref="A6:B6"/>
    <mergeCell ref="A13:B13"/>
    <mergeCell ref="A14:B14"/>
    <mergeCell ref="A8:J8"/>
  </mergeCells>
  <pageMargins left="0.7" right="0.7" top="0.75" bottom="0.75" header="0.3" footer="0.3"/>
  <pageSetup paperSize="9" scale="74" orientation="portrait" r:id="rId1"/>
  <rowBreaks count="1" manualBreakCount="1"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view="pageBreakPreview" topLeftCell="A52" zoomScaleNormal="100" zoomScaleSheetLayoutView="100" workbookViewId="0">
      <selection activeCell="A2" sqref="A2:XFD4"/>
    </sheetView>
  </sheetViews>
  <sheetFormatPr defaultRowHeight="15" x14ac:dyDescent="0.25"/>
  <cols>
    <col min="3" max="3" width="9.85546875" customWidth="1"/>
    <col min="5" max="5" width="11" customWidth="1"/>
    <col min="12" max="12" width="9.7109375" customWidth="1"/>
    <col min="15" max="15" width="7.7109375" customWidth="1"/>
    <col min="16" max="16" width="14.7109375" customWidth="1"/>
    <col min="17" max="17" width="11.140625" customWidth="1"/>
    <col min="18" max="18" width="8.140625" customWidth="1"/>
    <col min="19" max="19" width="8.28515625" customWidth="1"/>
    <col min="20" max="21" width="0" hidden="1" customWidth="1"/>
  </cols>
  <sheetData>
    <row r="1" spans="1:21" ht="18.75" x14ac:dyDescent="0.3">
      <c r="A1" s="301" t="s">
        <v>256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1"/>
      <c r="U1" s="1"/>
    </row>
    <row r="2" spans="1:21" ht="20.25" x14ac:dyDescent="0.35">
      <c r="A2" s="128"/>
      <c r="B2" s="303" t="s">
        <v>97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128"/>
      <c r="Q2" s="128"/>
      <c r="R2" s="128"/>
      <c r="S2" s="128"/>
      <c r="T2" s="1"/>
      <c r="U2" s="1"/>
    </row>
    <row r="3" spans="1:21" ht="18.75" x14ac:dyDescent="0.3">
      <c r="A3" s="128"/>
      <c r="B3" s="303" t="s">
        <v>229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128"/>
      <c r="Q3" s="128"/>
      <c r="R3" s="128"/>
      <c r="S3" s="128"/>
      <c r="T3" s="1"/>
      <c r="U3" s="1"/>
    </row>
    <row r="4" spans="1:21" ht="20.25" x14ac:dyDescent="0.35">
      <c r="A4" s="128"/>
      <c r="B4" s="302" t="s">
        <v>98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128"/>
      <c r="Q4" s="128"/>
      <c r="R4" s="128"/>
      <c r="S4" s="128"/>
      <c r="T4" s="1"/>
      <c r="U4" s="1"/>
    </row>
    <row r="5" spans="1:21" ht="18.75" x14ac:dyDescent="0.3">
      <c r="A5" s="128"/>
      <c r="B5" s="302" t="s">
        <v>99</v>
      </c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128"/>
      <c r="Q5" s="128"/>
      <c r="R5" s="128"/>
      <c r="S5" s="128"/>
      <c r="T5" s="1"/>
      <c r="U5" s="1"/>
    </row>
    <row r="6" spans="1:21" ht="34.5" customHeight="1" x14ac:dyDescent="0.3">
      <c r="A6" s="128"/>
      <c r="B6" s="304" t="s">
        <v>100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</row>
    <row r="7" spans="1:21" ht="18.75" x14ac:dyDescent="0.3">
      <c r="A7" s="128"/>
      <c r="B7" s="304" t="s">
        <v>226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x14ac:dyDescent="0.25">
      <c r="A9" s="308" t="s">
        <v>214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1"/>
      <c r="U9" s="1"/>
    </row>
    <row r="10" spans="1:21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68.25" customHeight="1" x14ac:dyDescent="0.25">
      <c r="A11" s="381" t="s">
        <v>101</v>
      </c>
      <c r="B11" s="383" t="s">
        <v>222</v>
      </c>
      <c r="C11" s="383" t="s">
        <v>103</v>
      </c>
      <c r="D11" s="383"/>
      <c r="E11" s="383"/>
      <c r="F11" s="383"/>
      <c r="G11" s="383"/>
      <c r="H11" s="383"/>
      <c r="I11" s="383"/>
      <c r="J11" s="383"/>
      <c r="K11" s="383"/>
      <c r="L11" s="385" t="s">
        <v>104</v>
      </c>
      <c r="M11" s="385"/>
      <c r="N11" s="385"/>
      <c r="O11" s="385"/>
      <c r="P11" s="385"/>
      <c r="Q11" s="385"/>
      <c r="R11" s="385" t="s">
        <v>105</v>
      </c>
      <c r="S11" s="385"/>
      <c r="T11" s="385" t="s">
        <v>106</v>
      </c>
      <c r="U11" s="321"/>
    </row>
    <row r="12" spans="1:21" x14ac:dyDescent="0.25">
      <c r="A12" s="382"/>
      <c r="B12" s="384"/>
      <c r="C12" s="386" t="s">
        <v>107</v>
      </c>
      <c r="D12" s="384" t="s">
        <v>108</v>
      </c>
      <c r="E12" s="384"/>
      <c r="F12" s="384"/>
      <c r="G12" s="388" t="s">
        <v>109</v>
      </c>
      <c r="H12" s="384" t="s">
        <v>110</v>
      </c>
      <c r="I12" s="384"/>
      <c r="J12" s="384"/>
      <c r="K12" s="388" t="s">
        <v>111</v>
      </c>
      <c r="L12" s="386" t="s">
        <v>112</v>
      </c>
      <c r="M12" s="386" t="s">
        <v>113</v>
      </c>
      <c r="N12" s="386" t="s">
        <v>114</v>
      </c>
      <c r="O12" s="386" t="s">
        <v>115</v>
      </c>
      <c r="P12" s="387" t="s">
        <v>116</v>
      </c>
      <c r="Q12" s="388" t="s">
        <v>117</v>
      </c>
      <c r="R12" s="386"/>
      <c r="S12" s="386"/>
      <c r="T12" s="386"/>
      <c r="U12" s="323"/>
    </row>
    <row r="13" spans="1:21" x14ac:dyDescent="0.25">
      <c r="A13" s="382"/>
      <c r="B13" s="384"/>
      <c r="C13" s="386"/>
      <c r="D13" s="389" t="s">
        <v>118</v>
      </c>
      <c r="E13" s="389" t="s">
        <v>119</v>
      </c>
      <c r="F13" s="389" t="s">
        <v>120</v>
      </c>
      <c r="G13" s="388"/>
      <c r="H13" s="389" t="s">
        <v>118</v>
      </c>
      <c r="I13" s="389" t="s">
        <v>119</v>
      </c>
      <c r="J13" s="389" t="s">
        <v>120</v>
      </c>
      <c r="K13" s="388"/>
      <c r="L13" s="386"/>
      <c r="M13" s="386"/>
      <c r="N13" s="386"/>
      <c r="O13" s="386"/>
      <c r="P13" s="387"/>
      <c r="Q13" s="388"/>
      <c r="R13" s="386"/>
      <c r="S13" s="386"/>
      <c r="T13" s="386"/>
      <c r="U13" s="323"/>
    </row>
    <row r="14" spans="1:21" ht="95.45" customHeight="1" thickBot="1" x14ac:dyDescent="0.3">
      <c r="A14" s="382"/>
      <c r="B14" s="384"/>
      <c r="C14" s="386"/>
      <c r="D14" s="389"/>
      <c r="E14" s="389"/>
      <c r="F14" s="389"/>
      <c r="G14" s="388"/>
      <c r="H14" s="389"/>
      <c r="I14" s="389"/>
      <c r="J14" s="389"/>
      <c r="K14" s="388"/>
      <c r="L14" s="386"/>
      <c r="M14" s="386"/>
      <c r="N14" s="386"/>
      <c r="O14" s="386"/>
      <c r="P14" s="387"/>
      <c r="Q14" s="388"/>
      <c r="R14" s="124" t="s">
        <v>108</v>
      </c>
      <c r="S14" s="124" t="s">
        <v>121</v>
      </c>
      <c r="T14" s="130" t="s">
        <v>108</v>
      </c>
      <c r="U14" s="131" t="s">
        <v>121</v>
      </c>
    </row>
    <row r="15" spans="1:21" ht="15.75" thickBot="1" x14ac:dyDescent="0.3">
      <c r="A15" s="132">
        <v>1</v>
      </c>
      <c r="B15" s="133"/>
      <c r="C15" s="155">
        <f>'от продуктов'!$J$38</f>
        <v>206.71104856389127</v>
      </c>
      <c r="D15" s="9">
        <v>0.8</v>
      </c>
      <c r="E15" s="9">
        <v>0.24</v>
      </c>
      <c r="F15" s="9">
        <v>0.8</v>
      </c>
      <c r="G15" s="10">
        <f>C15*D15*E15*F15</f>
        <v>31.750817059413698</v>
      </c>
      <c r="H15" s="9">
        <v>1</v>
      </c>
      <c r="I15" s="9">
        <v>0.24</v>
      </c>
      <c r="J15" s="9">
        <v>0.8</v>
      </c>
      <c r="K15" s="10">
        <f>C15*H15*I15*J15</f>
        <v>39.688521324267128</v>
      </c>
      <c r="L15" s="175">
        <f>'присмотр гр КВП'!J14</f>
        <v>0.92462856393600001</v>
      </c>
      <c r="M15" s="178">
        <f>'присмотр гр КВП'!$H$29</f>
        <v>2.2514927510204084</v>
      </c>
      <c r="N15" s="175">
        <f>'присмотр гр КВП'!$J$41</f>
        <v>1.2855644081632653</v>
      </c>
      <c r="O15" s="9">
        <v>0</v>
      </c>
      <c r="P15" s="181">
        <f>'присмотр гр КВП'!$C$48</f>
        <v>1.7846742892478695</v>
      </c>
      <c r="Q15" s="10">
        <f>L15+M15+N15+O15+P15</f>
        <v>6.2463600123675427</v>
      </c>
      <c r="R15" s="284">
        <f>G15+Q15</f>
        <v>37.997177071781238</v>
      </c>
      <c r="S15" s="284">
        <f>K15+Q15</f>
        <v>45.934881336634675</v>
      </c>
      <c r="T15" s="134">
        <f>R15*1.057</f>
        <v>40.163016164872765</v>
      </c>
      <c r="U15" s="14">
        <f>S15*1.057</f>
        <v>48.553169572822846</v>
      </c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x14ac:dyDescent="0.25">
      <c r="A18" s="308" t="s">
        <v>215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1"/>
      <c r="U18" s="1"/>
    </row>
    <row r="19" spans="1:21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54" customHeight="1" x14ac:dyDescent="0.25">
      <c r="A20" s="381" t="s">
        <v>101</v>
      </c>
      <c r="B20" s="383" t="s">
        <v>222</v>
      </c>
      <c r="C20" s="383" t="s">
        <v>103</v>
      </c>
      <c r="D20" s="383"/>
      <c r="E20" s="383"/>
      <c r="F20" s="383"/>
      <c r="G20" s="383"/>
      <c r="H20" s="383"/>
      <c r="I20" s="383"/>
      <c r="J20" s="383"/>
      <c r="K20" s="383"/>
      <c r="L20" s="385" t="s">
        <v>104</v>
      </c>
      <c r="M20" s="385"/>
      <c r="N20" s="385"/>
      <c r="O20" s="385"/>
      <c r="P20" s="385"/>
      <c r="Q20" s="385"/>
      <c r="R20" s="385" t="s">
        <v>105</v>
      </c>
      <c r="S20" s="321"/>
      <c r="T20" s="320" t="s">
        <v>106</v>
      </c>
      <c r="U20" s="321"/>
    </row>
    <row r="21" spans="1:21" x14ac:dyDescent="0.25">
      <c r="A21" s="382"/>
      <c r="B21" s="384"/>
      <c r="C21" s="386" t="s">
        <v>107</v>
      </c>
      <c r="D21" s="384" t="s">
        <v>108</v>
      </c>
      <c r="E21" s="384"/>
      <c r="F21" s="384"/>
      <c r="G21" s="388" t="s">
        <v>109</v>
      </c>
      <c r="H21" s="384" t="s">
        <v>110</v>
      </c>
      <c r="I21" s="384"/>
      <c r="J21" s="384"/>
      <c r="K21" s="388" t="s">
        <v>111</v>
      </c>
      <c r="L21" s="386" t="s">
        <v>112</v>
      </c>
      <c r="M21" s="386" t="s">
        <v>113</v>
      </c>
      <c r="N21" s="386" t="s">
        <v>114</v>
      </c>
      <c r="O21" s="386" t="s">
        <v>115</v>
      </c>
      <c r="P21" s="387" t="s">
        <v>116</v>
      </c>
      <c r="Q21" s="388" t="s">
        <v>117</v>
      </c>
      <c r="R21" s="386"/>
      <c r="S21" s="323"/>
      <c r="T21" s="322"/>
      <c r="U21" s="323"/>
    </row>
    <row r="22" spans="1:21" x14ac:dyDescent="0.25">
      <c r="A22" s="382"/>
      <c r="B22" s="384"/>
      <c r="C22" s="386"/>
      <c r="D22" s="389" t="s">
        <v>118</v>
      </c>
      <c r="E22" s="389" t="s">
        <v>119</v>
      </c>
      <c r="F22" s="389" t="s">
        <v>120</v>
      </c>
      <c r="G22" s="388"/>
      <c r="H22" s="389" t="s">
        <v>118</v>
      </c>
      <c r="I22" s="389" t="s">
        <v>119</v>
      </c>
      <c r="J22" s="389" t="s">
        <v>120</v>
      </c>
      <c r="K22" s="388"/>
      <c r="L22" s="386"/>
      <c r="M22" s="386"/>
      <c r="N22" s="386"/>
      <c r="O22" s="386"/>
      <c r="P22" s="387"/>
      <c r="Q22" s="388"/>
      <c r="R22" s="386"/>
      <c r="S22" s="323"/>
      <c r="T22" s="322"/>
      <c r="U22" s="323"/>
    </row>
    <row r="23" spans="1:21" ht="61.5" customHeight="1" thickBot="1" x14ac:dyDescent="0.3">
      <c r="A23" s="382"/>
      <c r="B23" s="384"/>
      <c r="C23" s="386"/>
      <c r="D23" s="389"/>
      <c r="E23" s="389"/>
      <c r="F23" s="389"/>
      <c r="G23" s="388"/>
      <c r="H23" s="389"/>
      <c r="I23" s="389"/>
      <c r="J23" s="389"/>
      <c r="K23" s="388"/>
      <c r="L23" s="386"/>
      <c r="M23" s="386"/>
      <c r="N23" s="386"/>
      <c r="O23" s="386"/>
      <c r="P23" s="387"/>
      <c r="Q23" s="388"/>
      <c r="R23" s="124" t="s">
        <v>108</v>
      </c>
      <c r="S23" s="125" t="s">
        <v>121</v>
      </c>
      <c r="T23" s="135" t="s">
        <v>108</v>
      </c>
      <c r="U23" s="4" t="s">
        <v>121</v>
      </c>
    </row>
    <row r="24" spans="1:21" ht="15.75" thickBot="1" x14ac:dyDescent="0.3">
      <c r="A24" s="138">
        <v>1</v>
      </c>
      <c r="B24" s="139"/>
      <c r="C24" s="155">
        <f>'от продуктов'!$J$38</f>
        <v>206.71104856389127</v>
      </c>
      <c r="D24" s="9">
        <v>0.8</v>
      </c>
      <c r="E24" s="9">
        <v>0.05</v>
      </c>
      <c r="F24" s="9">
        <v>0.8</v>
      </c>
      <c r="G24" s="10">
        <f>C24*D24*E24*F24</f>
        <v>6.6147535540445226</v>
      </c>
      <c r="H24" s="9">
        <v>1</v>
      </c>
      <c r="I24" s="9">
        <v>0.05</v>
      </c>
      <c r="J24" s="9">
        <v>0.8</v>
      </c>
      <c r="K24" s="10">
        <f>C24*H24*I24*J24</f>
        <v>8.2684419425556523</v>
      </c>
      <c r="L24" s="175">
        <f>'присмотр гр КВП'!$J$14</f>
        <v>0.92462856393600001</v>
      </c>
      <c r="M24" s="178">
        <f>'присмотр гр КВП'!$H$29</f>
        <v>2.2514927510204084</v>
      </c>
      <c r="N24" s="175">
        <f>'присмотр гр КВП'!$J$41</f>
        <v>1.2855644081632653</v>
      </c>
      <c r="O24" s="9">
        <v>0</v>
      </c>
      <c r="P24" s="181">
        <f>'присмотр гр КВП'!$C$48</f>
        <v>1.7846742892478695</v>
      </c>
      <c r="Q24" s="10">
        <f>L24+M24+N24+O24+P24</f>
        <v>6.2463600123675427</v>
      </c>
      <c r="R24" s="284">
        <f>G24+Q24</f>
        <v>12.861113566412065</v>
      </c>
      <c r="S24" s="285">
        <f>K24+Q24</f>
        <v>14.514801954923195</v>
      </c>
      <c r="T24" s="136">
        <f>R24*1.057</f>
        <v>13.594197039697551</v>
      </c>
      <c r="U24" s="8">
        <f>S24*1.057</f>
        <v>15.342145666353817</v>
      </c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x14ac:dyDescent="0.25">
      <c r="A27" s="308" t="s">
        <v>216</v>
      </c>
      <c r="B27" s="308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1"/>
      <c r="U27" s="1"/>
    </row>
    <row r="28" spans="1:21" ht="15.75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59.25" customHeight="1" x14ac:dyDescent="0.25">
      <c r="A29" s="381" t="s">
        <v>101</v>
      </c>
      <c r="B29" s="383" t="s">
        <v>222</v>
      </c>
      <c r="C29" s="383" t="s">
        <v>103</v>
      </c>
      <c r="D29" s="383"/>
      <c r="E29" s="383"/>
      <c r="F29" s="383"/>
      <c r="G29" s="383"/>
      <c r="H29" s="383"/>
      <c r="I29" s="383"/>
      <c r="J29" s="383"/>
      <c r="K29" s="383"/>
      <c r="L29" s="385" t="s">
        <v>104</v>
      </c>
      <c r="M29" s="385"/>
      <c r="N29" s="385"/>
      <c r="O29" s="385"/>
      <c r="P29" s="385"/>
      <c r="Q29" s="385"/>
      <c r="R29" s="385" t="s">
        <v>105</v>
      </c>
      <c r="S29" s="321"/>
      <c r="T29" s="390" t="s">
        <v>106</v>
      </c>
      <c r="U29" s="321"/>
    </row>
    <row r="30" spans="1:21" ht="15" customHeight="1" x14ac:dyDescent="0.25">
      <c r="A30" s="382"/>
      <c r="B30" s="384"/>
      <c r="C30" s="386" t="s">
        <v>107</v>
      </c>
      <c r="D30" s="384" t="s">
        <v>108</v>
      </c>
      <c r="E30" s="384"/>
      <c r="F30" s="384"/>
      <c r="G30" s="388" t="s">
        <v>109</v>
      </c>
      <c r="H30" s="384" t="s">
        <v>110</v>
      </c>
      <c r="I30" s="384"/>
      <c r="J30" s="384"/>
      <c r="K30" s="388" t="s">
        <v>111</v>
      </c>
      <c r="L30" s="386" t="s">
        <v>112</v>
      </c>
      <c r="M30" s="386" t="s">
        <v>113</v>
      </c>
      <c r="N30" s="386" t="s">
        <v>114</v>
      </c>
      <c r="O30" s="386" t="s">
        <v>115</v>
      </c>
      <c r="P30" s="387" t="s">
        <v>116</v>
      </c>
      <c r="Q30" s="388" t="s">
        <v>117</v>
      </c>
      <c r="R30" s="386"/>
      <c r="S30" s="323"/>
      <c r="T30" s="339"/>
      <c r="U30" s="323"/>
    </row>
    <row r="31" spans="1:21" ht="15" customHeight="1" x14ac:dyDescent="0.25">
      <c r="A31" s="382"/>
      <c r="B31" s="384"/>
      <c r="C31" s="386"/>
      <c r="D31" s="389" t="s">
        <v>118</v>
      </c>
      <c r="E31" s="389" t="s">
        <v>119</v>
      </c>
      <c r="F31" s="389" t="s">
        <v>120</v>
      </c>
      <c r="G31" s="388"/>
      <c r="H31" s="389" t="s">
        <v>118</v>
      </c>
      <c r="I31" s="389" t="s">
        <v>119</v>
      </c>
      <c r="J31" s="389" t="s">
        <v>120</v>
      </c>
      <c r="K31" s="388"/>
      <c r="L31" s="386"/>
      <c r="M31" s="386"/>
      <c r="N31" s="386"/>
      <c r="O31" s="386"/>
      <c r="P31" s="387"/>
      <c r="Q31" s="388"/>
      <c r="R31" s="386"/>
      <c r="S31" s="323"/>
      <c r="T31" s="339"/>
      <c r="U31" s="323"/>
    </row>
    <row r="32" spans="1:21" ht="50.25" customHeight="1" thickBot="1" x14ac:dyDescent="0.3">
      <c r="A32" s="382"/>
      <c r="B32" s="384"/>
      <c r="C32" s="386"/>
      <c r="D32" s="389"/>
      <c r="E32" s="389"/>
      <c r="F32" s="389"/>
      <c r="G32" s="388"/>
      <c r="H32" s="389"/>
      <c r="I32" s="389"/>
      <c r="J32" s="389"/>
      <c r="K32" s="388"/>
      <c r="L32" s="386"/>
      <c r="M32" s="386"/>
      <c r="N32" s="386"/>
      <c r="O32" s="386"/>
      <c r="P32" s="387"/>
      <c r="Q32" s="388"/>
      <c r="R32" s="124" t="s">
        <v>108</v>
      </c>
      <c r="S32" s="125" t="s">
        <v>121</v>
      </c>
      <c r="T32" s="16" t="s">
        <v>108</v>
      </c>
      <c r="U32" s="17" t="s">
        <v>121</v>
      </c>
    </row>
    <row r="33" spans="1:21" ht="15.75" thickBot="1" x14ac:dyDescent="0.3">
      <c r="A33" s="18">
        <v>1</v>
      </c>
      <c r="B33" s="19"/>
      <c r="C33" s="155">
        <f>'от продуктов'!$J$38</f>
        <v>206.71104856389127</v>
      </c>
      <c r="D33" s="127">
        <v>0.8</v>
      </c>
      <c r="E33" s="127">
        <v>0.35</v>
      </c>
      <c r="F33" s="127">
        <v>0.8</v>
      </c>
      <c r="G33" s="5">
        <f>C33*D33*E33*F33</f>
        <v>46.303274878311647</v>
      </c>
      <c r="H33" s="127">
        <v>1</v>
      </c>
      <c r="I33" s="127">
        <v>0.35</v>
      </c>
      <c r="J33" s="127">
        <v>0.8</v>
      </c>
      <c r="K33" s="6">
        <f>C33*H33*I33*J33</f>
        <v>57.87909359788955</v>
      </c>
      <c r="L33" s="175">
        <f>'присмотр гр КВП'!$J$14</f>
        <v>0.92462856393600001</v>
      </c>
      <c r="M33" s="178">
        <f>'присмотр гр КВП'!$H$29</f>
        <v>2.2514927510204084</v>
      </c>
      <c r="N33" s="175">
        <f>'присмотр гр КВП'!$J$41</f>
        <v>1.2855644081632653</v>
      </c>
      <c r="O33" s="127">
        <v>0</v>
      </c>
      <c r="P33" s="181">
        <f>'присмотр гр КВП'!$C$48</f>
        <v>1.7846742892478695</v>
      </c>
      <c r="Q33" s="7">
        <f>L33+M33+N33+O33+P33</f>
        <v>6.2463600123675427</v>
      </c>
      <c r="R33" s="287">
        <f>G33+Q33</f>
        <v>52.549634890679187</v>
      </c>
      <c r="S33" s="288">
        <f>K33+Q33</f>
        <v>64.125453610257097</v>
      </c>
      <c r="T33" s="20">
        <f>81*1.057</f>
        <v>85.61699999999999</v>
      </c>
      <c r="U33" s="21">
        <f>98*1.057</f>
        <v>103.586</v>
      </c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x14ac:dyDescent="0.25">
      <c r="A36" s="308" t="s">
        <v>217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1"/>
      <c r="U36" s="1"/>
    </row>
    <row r="37" spans="1:21" ht="15.75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60" customHeight="1" thickBot="1" x14ac:dyDescent="0.3">
      <c r="A38" s="309" t="s">
        <v>101</v>
      </c>
      <c r="B38" s="312" t="s">
        <v>222</v>
      </c>
      <c r="C38" s="309" t="s">
        <v>103</v>
      </c>
      <c r="D38" s="315"/>
      <c r="E38" s="315"/>
      <c r="F38" s="315"/>
      <c r="G38" s="315"/>
      <c r="H38" s="315"/>
      <c r="I38" s="315"/>
      <c r="J38" s="315"/>
      <c r="K38" s="316"/>
      <c r="L38" s="317" t="s">
        <v>104</v>
      </c>
      <c r="M38" s="318"/>
      <c r="N38" s="318"/>
      <c r="O38" s="318"/>
      <c r="P38" s="318"/>
      <c r="Q38" s="319"/>
      <c r="R38" s="320" t="s">
        <v>105</v>
      </c>
      <c r="S38" s="321"/>
      <c r="T38" s="390" t="s">
        <v>106</v>
      </c>
      <c r="U38" s="321"/>
    </row>
    <row r="39" spans="1:21" x14ac:dyDescent="0.25">
      <c r="A39" s="310"/>
      <c r="B39" s="313"/>
      <c r="C39" s="391" t="s">
        <v>107</v>
      </c>
      <c r="D39" s="384" t="s">
        <v>108</v>
      </c>
      <c r="E39" s="384"/>
      <c r="F39" s="384"/>
      <c r="G39" s="388" t="s">
        <v>109</v>
      </c>
      <c r="H39" s="384" t="s">
        <v>110</v>
      </c>
      <c r="I39" s="384"/>
      <c r="J39" s="384"/>
      <c r="K39" s="328" t="s">
        <v>111</v>
      </c>
      <c r="L39" s="338" t="s">
        <v>112</v>
      </c>
      <c r="M39" s="305" t="s">
        <v>113</v>
      </c>
      <c r="N39" s="305" t="s">
        <v>114</v>
      </c>
      <c r="O39" s="305" t="s">
        <v>115</v>
      </c>
      <c r="P39" s="324" t="s">
        <v>116</v>
      </c>
      <c r="Q39" s="327" t="s">
        <v>117</v>
      </c>
      <c r="R39" s="322"/>
      <c r="S39" s="323"/>
      <c r="T39" s="339"/>
      <c r="U39" s="323"/>
    </row>
    <row r="40" spans="1:21" x14ac:dyDescent="0.25">
      <c r="A40" s="310"/>
      <c r="B40" s="313"/>
      <c r="C40" s="333"/>
      <c r="D40" s="389" t="s">
        <v>118</v>
      </c>
      <c r="E40" s="389" t="s">
        <v>119</v>
      </c>
      <c r="F40" s="389" t="s">
        <v>120</v>
      </c>
      <c r="G40" s="388"/>
      <c r="H40" s="389" t="s">
        <v>118</v>
      </c>
      <c r="I40" s="389" t="s">
        <v>119</v>
      </c>
      <c r="J40" s="389" t="s">
        <v>120</v>
      </c>
      <c r="K40" s="328"/>
      <c r="L40" s="339"/>
      <c r="M40" s="386"/>
      <c r="N40" s="386"/>
      <c r="O40" s="386"/>
      <c r="P40" s="387"/>
      <c r="Q40" s="328"/>
      <c r="R40" s="322"/>
      <c r="S40" s="323"/>
      <c r="T40" s="339"/>
      <c r="U40" s="323"/>
    </row>
    <row r="41" spans="1:21" ht="48.75" customHeight="1" thickBot="1" x14ac:dyDescent="0.3">
      <c r="A41" s="311"/>
      <c r="B41" s="314"/>
      <c r="C41" s="334"/>
      <c r="D41" s="331"/>
      <c r="E41" s="331"/>
      <c r="F41" s="331"/>
      <c r="G41" s="337"/>
      <c r="H41" s="331"/>
      <c r="I41" s="331"/>
      <c r="J41" s="331"/>
      <c r="K41" s="329"/>
      <c r="L41" s="340"/>
      <c r="M41" s="307"/>
      <c r="N41" s="307"/>
      <c r="O41" s="307"/>
      <c r="P41" s="326"/>
      <c r="Q41" s="329"/>
      <c r="R41" s="15" t="s">
        <v>108</v>
      </c>
      <c r="S41" s="126" t="s">
        <v>121</v>
      </c>
      <c r="T41" s="3" t="s">
        <v>108</v>
      </c>
      <c r="U41" s="4" t="s">
        <v>121</v>
      </c>
    </row>
    <row r="42" spans="1:21" ht="15.75" thickBot="1" x14ac:dyDescent="0.3">
      <c r="A42" s="22">
        <v>1</v>
      </c>
      <c r="B42" s="23"/>
      <c r="C42" s="155">
        <f>'от продуктов'!$J$38</f>
        <v>206.71104856389127</v>
      </c>
      <c r="D42" s="24">
        <v>0.8</v>
      </c>
      <c r="E42" s="24">
        <v>0.12</v>
      </c>
      <c r="F42" s="24">
        <v>0.8</v>
      </c>
      <c r="G42" s="25">
        <f>C42*D42*E42*F42</f>
        <v>15.875408529706849</v>
      </c>
      <c r="H42" s="24">
        <v>1</v>
      </c>
      <c r="I42" s="24">
        <v>0.12</v>
      </c>
      <c r="J42" s="24">
        <v>0.8</v>
      </c>
      <c r="K42" s="26">
        <f>C42*H42*I42*J42</f>
        <v>19.844260662133564</v>
      </c>
      <c r="L42" s="175">
        <f>'присмотр гр КВП'!$J$14</f>
        <v>0.92462856393600001</v>
      </c>
      <c r="M42" s="178">
        <f>'присмотр гр КВП'!$H$29</f>
        <v>2.2514927510204084</v>
      </c>
      <c r="N42" s="175">
        <f>'присмотр гр КВП'!$J$41</f>
        <v>1.2855644081632653</v>
      </c>
      <c r="O42" s="24">
        <v>0</v>
      </c>
      <c r="P42" s="181">
        <f>'присмотр гр КВП'!$C$48</f>
        <v>1.7846742892478695</v>
      </c>
      <c r="Q42" s="27">
        <f>L42+M42+N42+O42+P42</f>
        <v>6.2463600123675427</v>
      </c>
      <c r="R42" s="289">
        <f>G42+Q42</f>
        <v>22.121768542074392</v>
      </c>
      <c r="S42" s="290">
        <f>K42+Q42</f>
        <v>26.090620674501107</v>
      </c>
      <c r="T42" s="20">
        <f>77*1.057</f>
        <v>81.388999999999996</v>
      </c>
      <c r="U42" s="21">
        <f>94*1.057</f>
        <v>99.35799999999999</v>
      </c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8"/>
      <c r="U43" s="28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8"/>
      <c r="U44" s="28"/>
    </row>
    <row r="45" spans="1:21" ht="15.75" x14ac:dyDescent="0.25">
      <c r="A45" s="392" t="s">
        <v>218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392"/>
      <c r="N45" s="392"/>
      <c r="O45" s="392"/>
      <c r="P45" s="392"/>
      <c r="Q45" s="392"/>
      <c r="R45" s="392"/>
      <c r="S45" s="392"/>
      <c r="T45" s="28"/>
      <c r="U45" s="28"/>
    </row>
    <row r="46" spans="1:21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8"/>
      <c r="U46" s="28"/>
    </row>
    <row r="47" spans="1:21" ht="60.75" customHeight="1" thickBot="1" x14ac:dyDescent="0.3">
      <c r="A47" s="309" t="s">
        <v>101</v>
      </c>
      <c r="B47" s="312" t="s">
        <v>222</v>
      </c>
      <c r="C47" s="309" t="s">
        <v>103</v>
      </c>
      <c r="D47" s="315"/>
      <c r="E47" s="315"/>
      <c r="F47" s="315"/>
      <c r="G47" s="315"/>
      <c r="H47" s="315"/>
      <c r="I47" s="315"/>
      <c r="J47" s="315"/>
      <c r="K47" s="316"/>
      <c r="L47" s="317" t="s">
        <v>104</v>
      </c>
      <c r="M47" s="318"/>
      <c r="N47" s="318"/>
      <c r="O47" s="318"/>
      <c r="P47" s="318"/>
      <c r="Q47" s="319"/>
      <c r="R47" s="320" t="s">
        <v>105</v>
      </c>
      <c r="S47" s="321"/>
      <c r="T47" s="390" t="s">
        <v>106</v>
      </c>
      <c r="U47" s="321"/>
    </row>
    <row r="48" spans="1:21" x14ac:dyDescent="0.25">
      <c r="A48" s="310"/>
      <c r="B48" s="313"/>
      <c r="C48" s="391" t="s">
        <v>107</v>
      </c>
      <c r="D48" s="384" t="s">
        <v>108</v>
      </c>
      <c r="E48" s="384"/>
      <c r="F48" s="384"/>
      <c r="G48" s="388" t="s">
        <v>109</v>
      </c>
      <c r="H48" s="384" t="s">
        <v>110</v>
      </c>
      <c r="I48" s="384"/>
      <c r="J48" s="384"/>
      <c r="K48" s="328" t="s">
        <v>111</v>
      </c>
      <c r="L48" s="338" t="s">
        <v>112</v>
      </c>
      <c r="M48" s="305" t="s">
        <v>113</v>
      </c>
      <c r="N48" s="305" t="s">
        <v>114</v>
      </c>
      <c r="O48" s="305" t="s">
        <v>115</v>
      </c>
      <c r="P48" s="324" t="s">
        <v>116</v>
      </c>
      <c r="Q48" s="327" t="s">
        <v>117</v>
      </c>
      <c r="R48" s="322"/>
      <c r="S48" s="323"/>
      <c r="T48" s="339"/>
      <c r="U48" s="323"/>
    </row>
    <row r="49" spans="1:21" x14ac:dyDescent="0.25">
      <c r="A49" s="310"/>
      <c r="B49" s="313"/>
      <c r="C49" s="333"/>
      <c r="D49" s="389" t="s">
        <v>118</v>
      </c>
      <c r="E49" s="389" t="s">
        <v>119</v>
      </c>
      <c r="F49" s="389" t="s">
        <v>120</v>
      </c>
      <c r="G49" s="388"/>
      <c r="H49" s="389" t="s">
        <v>118</v>
      </c>
      <c r="I49" s="389" t="s">
        <v>119</v>
      </c>
      <c r="J49" s="389" t="s">
        <v>120</v>
      </c>
      <c r="K49" s="328"/>
      <c r="L49" s="339"/>
      <c r="M49" s="386"/>
      <c r="N49" s="386"/>
      <c r="O49" s="386"/>
      <c r="P49" s="387"/>
      <c r="Q49" s="328"/>
      <c r="R49" s="322"/>
      <c r="S49" s="323"/>
      <c r="T49" s="339"/>
      <c r="U49" s="323"/>
    </row>
    <row r="50" spans="1:21" ht="53.25" customHeight="1" thickBot="1" x14ac:dyDescent="0.3">
      <c r="A50" s="311"/>
      <c r="B50" s="314"/>
      <c r="C50" s="334"/>
      <c r="D50" s="331"/>
      <c r="E50" s="331"/>
      <c r="F50" s="331"/>
      <c r="G50" s="337"/>
      <c r="H50" s="331"/>
      <c r="I50" s="331"/>
      <c r="J50" s="331"/>
      <c r="K50" s="329"/>
      <c r="L50" s="340"/>
      <c r="M50" s="307"/>
      <c r="N50" s="307"/>
      <c r="O50" s="307"/>
      <c r="P50" s="326"/>
      <c r="Q50" s="329"/>
      <c r="R50" s="29" t="s">
        <v>108</v>
      </c>
      <c r="S50" s="30" t="s">
        <v>121</v>
      </c>
      <c r="T50" s="3" t="s">
        <v>108</v>
      </c>
      <c r="U50" s="4" t="s">
        <v>121</v>
      </c>
    </row>
    <row r="51" spans="1:21" ht="15.75" thickBot="1" x14ac:dyDescent="0.3">
      <c r="A51" s="18">
        <v>1</v>
      </c>
      <c r="B51" s="19"/>
      <c r="C51" s="155">
        <f>'от продуктов'!$J$38</f>
        <v>206.71104856389127</v>
      </c>
      <c r="D51" s="11">
        <v>0.8</v>
      </c>
      <c r="E51" s="11">
        <v>0.24</v>
      </c>
      <c r="F51" s="11">
        <v>0.9</v>
      </c>
      <c r="G51" s="31">
        <f>C51*D51*E51*F51</f>
        <v>35.71966919184041</v>
      </c>
      <c r="H51" s="11">
        <v>1</v>
      </c>
      <c r="I51" s="11">
        <v>0.24</v>
      </c>
      <c r="J51" s="11">
        <v>0.9</v>
      </c>
      <c r="K51" s="12">
        <f>C51*H51*I51*J51</f>
        <v>44.649586489800512</v>
      </c>
      <c r="L51" s="175">
        <f>'присмотр гр КВП'!$J$14</f>
        <v>0.92462856393600001</v>
      </c>
      <c r="M51" s="178">
        <f>'присмотр гр КВП'!$H$29</f>
        <v>2.2514927510204084</v>
      </c>
      <c r="N51" s="175">
        <f>'присмотр гр КВП'!$J$41</f>
        <v>1.2855644081632653</v>
      </c>
      <c r="O51" s="11">
        <v>0</v>
      </c>
      <c r="P51" s="181">
        <f>'присмотр гр КВП'!$C$48</f>
        <v>1.7846742892478695</v>
      </c>
      <c r="Q51" s="32">
        <f>L51+M51+N51+O51+P51</f>
        <v>6.2463600123675427</v>
      </c>
      <c r="R51" s="291">
        <f>G51+Q51</f>
        <v>41.966029204207956</v>
      </c>
      <c r="S51" s="292">
        <f>K51+Q51</f>
        <v>50.895946502168059</v>
      </c>
      <c r="T51" s="20">
        <f>85*1.057</f>
        <v>89.844999999999999</v>
      </c>
      <c r="U51" s="21">
        <f>S51*1.057</f>
        <v>53.797015452791634</v>
      </c>
    </row>
    <row r="52" spans="1:21" x14ac:dyDescent="0.25">
      <c r="A52" s="33"/>
      <c r="B52" s="34"/>
      <c r="C52" s="35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28"/>
      <c r="U52" s="28"/>
    </row>
    <row r="53" spans="1:21" x14ac:dyDescent="0.25">
      <c r="A53" s="33"/>
      <c r="B53" s="34"/>
      <c r="C53" s="35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28"/>
      <c r="U53" s="28"/>
    </row>
    <row r="54" spans="1:21" ht="15.75" x14ac:dyDescent="0.25">
      <c r="A54" s="308" t="s">
        <v>219</v>
      </c>
      <c r="B54" s="308"/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28"/>
      <c r="U54" s="28"/>
    </row>
    <row r="55" spans="1:21" ht="15.75" thickBo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8"/>
      <c r="U55" s="28"/>
    </row>
    <row r="56" spans="1:21" ht="62.25" customHeight="1" thickBot="1" x14ac:dyDescent="0.3">
      <c r="A56" s="309" t="s">
        <v>101</v>
      </c>
      <c r="B56" s="312" t="s">
        <v>222</v>
      </c>
      <c r="C56" s="309" t="s">
        <v>103</v>
      </c>
      <c r="D56" s="315"/>
      <c r="E56" s="315"/>
      <c r="F56" s="315"/>
      <c r="G56" s="315"/>
      <c r="H56" s="315"/>
      <c r="I56" s="315"/>
      <c r="J56" s="315"/>
      <c r="K56" s="316"/>
      <c r="L56" s="317" t="s">
        <v>104</v>
      </c>
      <c r="M56" s="318"/>
      <c r="N56" s="318"/>
      <c r="O56" s="318"/>
      <c r="P56" s="318"/>
      <c r="Q56" s="319"/>
      <c r="R56" s="320" t="s">
        <v>105</v>
      </c>
      <c r="S56" s="321"/>
      <c r="T56" s="390" t="s">
        <v>106</v>
      </c>
      <c r="U56" s="321"/>
    </row>
    <row r="57" spans="1:21" x14ac:dyDescent="0.25">
      <c r="A57" s="310"/>
      <c r="B57" s="313"/>
      <c r="C57" s="391" t="s">
        <v>107</v>
      </c>
      <c r="D57" s="384" t="s">
        <v>108</v>
      </c>
      <c r="E57" s="384"/>
      <c r="F57" s="384"/>
      <c r="G57" s="388" t="s">
        <v>109</v>
      </c>
      <c r="H57" s="384" t="s">
        <v>110</v>
      </c>
      <c r="I57" s="384"/>
      <c r="J57" s="384"/>
      <c r="K57" s="328" t="s">
        <v>111</v>
      </c>
      <c r="L57" s="338" t="s">
        <v>112</v>
      </c>
      <c r="M57" s="305" t="s">
        <v>113</v>
      </c>
      <c r="N57" s="305" t="s">
        <v>114</v>
      </c>
      <c r="O57" s="305" t="s">
        <v>115</v>
      </c>
      <c r="P57" s="324" t="s">
        <v>116</v>
      </c>
      <c r="Q57" s="327" t="s">
        <v>117</v>
      </c>
      <c r="R57" s="322"/>
      <c r="S57" s="323"/>
      <c r="T57" s="339"/>
      <c r="U57" s="323"/>
    </row>
    <row r="58" spans="1:21" x14ac:dyDescent="0.25">
      <c r="A58" s="310"/>
      <c r="B58" s="313"/>
      <c r="C58" s="333"/>
      <c r="D58" s="389" t="s">
        <v>118</v>
      </c>
      <c r="E58" s="389" t="s">
        <v>119</v>
      </c>
      <c r="F58" s="389" t="s">
        <v>120</v>
      </c>
      <c r="G58" s="388"/>
      <c r="H58" s="389" t="s">
        <v>118</v>
      </c>
      <c r="I58" s="389" t="s">
        <v>119</v>
      </c>
      <c r="J58" s="389" t="s">
        <v>120</v>
      </c>
      <c r="K58" s="328"/>
      <c r="L58" s="339"/>
      <c r="M58" s="386"/>
      <c r="N58" s="386"/>
      <c r="O58" s="386"/>
      <c r="P58" s="387"/>
      <c r="Q58" s="328"/>
      <c r="R58" s="322"/>
      <c r="S58" s="323"/>
      <c r="T58" s="339"/>
      <c r="U58" s="323"/>
    </row>
    <row r="59" spans="1:21" ht="52.5" customHeight="1" thickBot="1" x14ac:dyDescent="0.3">
      <c r="A59" s="311"/>
      <c r="B59" s="314"/>
      <c r="C59" s="334"/>
      <c r="D59" s="331"/>
      <c r="E59" s="331"/>
      <c r="F59" s="331"/>
      <c r="G59" s="337"/>
      <c r="H59" s="331"/>
      <c r="I59" s="331"/>
      <c r="J59" s="331"/>
      <c r="K59" s="329"/>
      <c r="L59" s="340"/>
      <c r="M59" s="307"/>
      <c r="N59" s="307"/>
      <c r="O59" s="307"/>
      <c r="P59" s="326"/>
      <c r="Q59" s="329"/>
      <c r="R59" s="15" t="s">
        <v>108</v>
      </c>
      <c r="S59" s="126" t="s">
        <v>121</v>
      </c>
      <c r="T59" s="16" t="s">
        <v>108</v>
      </c>
      <c r="U59" s="17" t="s">
        <v>121</v>
      </c>
    </row>
    <row r="60" spans="1:21" ht="15.75" thickBot="1" x14ac:dyDescent="0.3">
      <c r="A60" s="38">
        <v>1</v>
      </c>
      <c r="B60" s="39"/>
      <c r="C60" s="155">
        <f>'от продуктов'!$J$38</f>
        <v>206.71104856389127</v>
      </c>
      <c r="D60" s="11">
        <v>0.8</v>
      </c>
      <c r="E60" s="11">
        <v>0.05</v>
      </c>
      <c r="F60" s="11">
        <v>0.9</v>
      </c>
      <c r="G60" s="31">
        <f>C60*D60*E60*F60</f>
        <v>7.4415977483000875</v>
      </c>
      <c r="H60" s="11">
        <v>1</v>
      </c>
      <c r="I60" s="11">
        <v>0.05</v>
      </c>
      <c r="J60" s="11">
        <v>0.9</v>
      </c>
      <c r="K60" s="12">
        <f>C60*H60*I60*J60</f>
        <v>9.3019971853751073</v>
      </c>
      <c r="L60" s="175">
        <f>'присмотр гр КВП'!$J$14</f>
        <v>0.92462856393600001</v>
      </c>
      <c r="M60" s="178">
        <f>'присмотр гр КВП'!$H$29</f>
        <v>2.2514927510204084</v>
      </c>
      <c r="N60" s="175">
        <f>'присмотр гр КВП'!$J$41</f>
        <v>1.2855644081632653</v>
      </c>
      <c r="O60" s="11">
        <v>0</v>
      </c>
      <c r="P60" s="181">
        <f>'присмотр гр КВП'!$C$48</f>
        <v>1.7846742892478695</v>
      </c>
      <c r="Q60" s="40">
        <f>L60+M60+N60+O60+P60</f>
        <v>6.2463600123675427</v>
      </c>
      <c r="R60" s="291">
        <f>G60+Q60</f>
        <v>13.687957760667629</v>
      </c>
      <c r="S60" s="293">
        <f>K60+Q60</f>
        <v>15.54835719774265</v>
      </c>
      <c r="T60" s="13">
        <f>81*1.057</f>
        <v>85.61699999999999</v>
      </c>
      <c r="U60" s="14">
        <f>98*1.057</f>
        <v>103.586</v>
      </c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x14ac:dyDescent="0.25">
      <c r="A63" s="308" t="s">
        <v>220</v>
      </c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8"/>
      <c r="P63" s="308"/>
      <c r="Q63" s="308"/>
      <c r="R63" s="308"/>
      <c r="S63" s="308"/>
      <c r="T63" s="1"/>
      <c r="U63" s="1"/>
    </row>
    <row r="64" spans="1:21" ht="15.75" thickBo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57" customHeight="1" thickBot="1" x14ac:dyDescent="0.3">
      <c r="A65" s="309" t="s">
        <v>101</v>
      </c>
      <c r="B65" s="312" t="s">
        <v>222</v>
      </c>
      <c r="C65" s="309" t="s">
        <v>103</v>
      </c>
      <c r="D65" s="315"/>
      <c r="E65" s="315"/>
      <c r="F65" s="315"/>
      <c r="G65" s="315"/>
      <c r="H65" s="315"/>
      <c r="I65" s="315"/>
      <c r="J65" s="315"/>
      <c r="K65" s="316"/>
      <c r="L65" s="317" t="s">
        <v>104</v>
      </c>
      <c r="M65" s="318"/>
      <c r="N65" s="318"/>
      <c r="O65" s="318"/>
      <c r="P65" s="318"/>
      <c r="Q65" s="319"/>
      <c r="R65" s="320" t="s">
        <v>105</v>
      </c>
      <c r="S65" s="321"/>
      <c r="T65" s="390" t="s">
        <v>106</v>
      </c>
      <c r="U65" s="321"/>
    </row>
    <row r="66" spans="1:21" x14ac:dyDescent="0.25">
      <c r="A66" s="310"/>
      <c r="B66" s="313"/>
      <c r="C66" s="391" t="s">
        <v>107</v>
      </c>
      <c r="D66" s="384" t="s">
        <v>108</v>
      </c>
      <c r="E66" s="384"/>
      <c r="F66" s="384"/>
      <c r="G66" s="388" t="s">
        <v>109</v>
      </c>
      <c r="H66" s="384" t="s">
        <v>110</v>
      </c>
      <c r="I66" s="384"/>
      <c r="J66" s="384"/>
      <c r="K66" s="328" t="s">
        <v>111</v>
      </c>
      <c r="L66" s="338" t="s">
        <v>112</v>
      </c>
      <c r="M66" s="305" t="s">
        <v>113</v>
      </c>
      <c r="N66" s="305" t="s">
        <v>114</v>
      </c>
      <c r="O66" s="305" t="s">
        <v>115</v>
      </c>
      <c r="P66" s="324" t="s">
        <v>116</v>
      </c>
      <c r="Q66" s="327" t="s">
        <v>117</v>
      </c>
      <c r="R66" s="322"/>
      <c r="S66" s="323"/>
      <c r="T66" s="339"/>
      <c r="U66" s="323"/>
    </row>
    <row r="67" spans="1:21" x14ac:dyDescent="0.25">
      <c r="A67" s="310"/>
      <c r="B67" s="313"/>
      <c r="C67" s="333"/>
      <c r="D67" s="389" t="s">
        <v>118</v>
      </c>
      <c r="E67" s="389" t="s">
        <v>119</v>
      </c>
      <c r="F67" s="389" t="s">
        <v>120</v>
      </c>
      <c r="G67" s="388"/>
      <c r="H67" s="389" t="s">
        <v>118</v>
      </c>
      <c r="I67" s="389" t="s">
        <v>119</v>
      </c>
      <c r="J67" s="389" t="s">
        <v>120</v>
      </c>
      <c r="K67" s="328"/>
      <c r="L67" s="339"/>
      <c r="M67" s="386"/>
      <c r="N67" s="386"/>
      <c r="O67" s="386"/>
      <c r="P67" s="387"/>
      <c r="Q67" s="328"/>
      <c r="R67" s="322"/>
      <c r="S67" s="323"/>
      <c r="T67" s="339"/>
      <c r="U67" s="323"/>
    </row>
    <row r="68" spans="1:21" ht="26.25" thickBot="1" x14ac:dyDescent="0.3">
      <c r="A68" s="311"/>
      <c r="B68" s="314"/>
      <c r="C68" s="334"/>
      <c r="D68" s="331"/>
      <c r="E68" s="331"/>
      <c r="F68" s="331"/>
      <c r="G68" s="337"/>
      <c r="H68" s="331"/>
      <c r="I68" s="331"/>
      <c r="J68" s="331"/>
      <c r="K68" s="329"/>
      <c r="L68" s="340"/>
      <c r="M68" s="307"/>
      <c r="N68" s="307"/>
      <c r="O68" s="307"/>
      <c r="P68" s="326"/>
      <c r="Q68" s="329"/>
      <c r="R68" s="15" t="s">
        <v>108</v>
      </c>
      <c r="S68" s="126" t="s">
        <v>121</v>
      </c>
      <c r="T68" s="16" t="s">
        <v>108</v>
      </c>
      <c r="U68" s="17" t="s">
        <v>121</v>
      </c>
    </row>
    <row r="69" spans="1:21" ht="15.75" thickBot="1" x14ac:dyDescent="0.3">
      <c r="A69" s="38">
        <v>1</v>
      </c>
      <c r="B69" s="39"/>
      <c r="C69" s="155">
        <f>'от продуктов'!$J$38</f>
        <v>206.71104856389127</v>
      </c>
      <c r="D69" s="11">
        <v>0.8</v>
      </c>
      <c r="E69" s="11">
        <v>0.35</v>
      </c>
      <c r="F69" s="11">
        <v>0.9</v>
      </c>
      <c r="G69" s="31">
        <f>C69*D69*E69*F69</f>
        <v>52.091184238100602</v>
      </c>
      <c r="H69" s="11">
        <v>1</v>
      </c>
      <c r="I69" s="11">
        <v>0.35</v>
      </c>
      <c r="J69" s="11">
        <v>0.9</v>
      </c>
      <c r="K69" s="12">
        <f>C69*H69*I69*J69</f>
        <v>65.113980297625744</v>
      </c>
      <c r="L69" s="175">
        <f>'присмотр гр КВП'!$J$14</f>
        <v>0.92462856393600001</v>
      </c>
      <c r="M69" s="178">
        <f>'присмотр гр КВП'!$H$29</f>
        <v>2.2514927510204084</v>
      </c>
      <c r="N69" s="175">
        <f>'присмотр гр КВП'!$J$41</f>
        <v>1.2855644081632653</v>
      </c>
      <c r="O69" s="11">
        <v>0</v>
      </c>
      <c r="P69" s="181">
        <f>'присмотр гр КВП'!$C$48</f>
        <v>1.7846742892478695</v>
      </c>
      <c r="Q69" s="32">
        <f>L69+M69+N69+O69+P69</f>
        <v>6.2463600123675427</v>
      </c>
      <c r="R69" s="291">
        <f>G69+Q69</f>
        <v>58.337544250468142</v>
      </c>
      <c r="S69" s="293">
        <f>K69+Q69</f>
        <v>71.36034030999329</v>
      </c>
      <c r="T69" s="13">
        <f>77*1.057</f>
        <v>81.388999999999996</v>
      </c>
      <c r="U69" s="14">
        <f>S69*1.057</f>
        <v>75.42787970766291</v>
      </c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x14ac:dyDescent="0.25">
      <c r="A72" s="308" t="s">
        <v>221</v>
      </c>
      <c r="B72" s="308"/>
      <c r="C72" s="308"/>
      <c r="D72" s="308"/>
      <c r="E72" s="308"/>
      <c r="F72" s="308"/>
      <c r="G72" s="308"/>
      <c r="H72" s="308"/>
      <c r="I72" s="308"/>
      <c r="J72" s="308"/>
      <c r="K72" s="308"/>
      <c r="L72" s="308"/>
      <c r="M72" s="308"/>
      <c r="N72" s="308"/>
      <c r="O72" s="308"/>
      <c r="P72" s="308"/>
      <c r="Q72" s="308"/>
      <c r="R72" s="308"/>
      <c r="S72" s="308"/>
      <c r="T72" s="1"/>
      <c r="U72" s="1"/>
    </row>
    <row r="73" spans="1:21" ht="15.75" thickBo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38.25" customHeight="1" thickBot="1" x14ac:dyDescent="0.3">
      <c r="A74" s="309" t="s">
        <v>101</v>
      </c>
      <c r="B74" s="312" t="s">
        <v>222</v>
      </c>
      <c r="C74" s="309" t="s">
        <v>103</v>
      </c>
      <c r="D74" s="315"/>
      <c r="E74" s="315"/>
      <c r="F74" s="315"/>
      <c r="G74" s="315"/>
      <c r="H74" s="315"/>
      <c r="I74" s="315"/>
      <c r="J74" s="315"/>
      <c r="K74" s="316"/>
      <c r="L74" s="317" t="s">
        <v>104</v>
      </c>
      <c r="M74" s="318"/>
      <c r="N74" s="318"/>
      <c r="O74" s="318"/>
      <c r="P74" s="318"/>
      <c r="Q74" s="319"/>
      <c r="R74" s="320" t="s">
        <v>105</v>
      </c>
      <c r="S74" s="321"/>
      <c r="T74" s="390" t="s">
        <v>106</v>
      </c>
      <c r="U74" s="321"/>
    </row>
    <row r="75" spans="1:21" x14ac:dyDescent="0.25">
      <c r="A75" s="310"/>
      <c r="B75" s="313"/>
      <c r="C75" s="391" t="s">
        <v>107</v>
      </c>
      <c r="D75" s="384" t="s">
        <v>108</v>
      </c>
      <c r="E75" s="384"/>
      <c r="F75" s="384"/>
      <c r="G75" s="388" t="s">
        <v>109</v>
      </c>
      <c r="H75" s="384" t="s">
        <v>110</v>
      </c>
      <c r="I75" s="384"/>
      <c r="J75" s="384"/>
      <c r="K75" s="328" t="s">
        <v>111</v>
      </c>
      <c r="L75" s="338" t="s">
        <v>112</v>
      </c>
      <c r="M75" s="305" t="s">
        <v>113</v>
      </c>
      <c r="N75" s="305" t="s">
        <v>114</v>
      </c>
      <c r="O75" s="305" t="s">
        <v>115</v>
      </c>
      <c r="P75" s="324" t="s">
        <v>116</v>
      </c>
      <c r="Q75" s="327" t="s">
        <v>117</v>
      </c>
      <c r="R75" s="322"/>
      <c r="S75" s="323"/>
      <c r="T75" s="339"/>
      <c r="U75" s="323"/>
    </row>
    <row r="76" spans="1:21" x14ac:dyDescent="0.25">
      <c r="A76" s="310"/>
      <c r="B76" s="313"/>
      <c r="C76" s="333"/>
      <c r="D76" s="389" t="s">
        <v>118</v>
      </c>
      <c r="E76" s="389" t="s">
        <v>119</v>
      </c>
      <c r="F76" s="389" t="s">
        <v>120</v>
      </c>
      <c r="G76" s="388"/>
      <c r="H76" s="389" t="s">
        <v>118</v>
      </c>
      <c r="I76" s="389" t="s">
        <v>119</v>
      </c>
      <c r="J76" s="389" t="s">
        <v>120</v>
      </c>
      <c r="K76" s="328"/>
      <c r="L76" s="339"/>
      <c r="M76" s="386"/>
      <c r="N76" s="386"/>
      <c r="O76" s="386"/>
      <c r="P76" s="387"/>
      <c r="Q76" s="328"/>
      <c r="R76" s="322"/>
      <c r="S76" s="323"/>
      <c r="T76" s="339"/>
      <c r="U76" s="323"/>
    </row>
    <row r="77" spans="1:21" ht="93.75" customHeight="1" thickBot="1" x14ac:dyDescent="0.3">
      <c r="A77" s="311"/>
      <c r="B77" s="314"/>
      <c r="C77" s="334"/>
      <c r="D77" s="331"/>
      <c r="E77" s="331"/>
      <c r="F77" s="331"/>
      <c r="G77" s="337"/>
      <c r="H77" s="331"/>
      <c r="I77" s="331"/>
      <c r="J77" s="331"/>
      <c r="K77" s="329"/>
      <c r="L77" s="340"/>
      <c r="M77" s="307"/>
      <c r="N77" s="307"/>
      <c r="O77" s="307"/>
      <c r="P77" s="326"/>
      <c r="Q77" s="329"/>
      <c r="R77" s="15" t="s">
        <v>108</v>
      </c>
      <c r="S77" s="126" t="s">
        <v>121</v>
      </c>
      <c r="T77" s="16" t="s">
        <v>108</v>
      </c>
      <c r="U77" s="17" t="s">
        <v>121</v>
      </c>
    </row>
    <row r="78" spans="1:21" ht="15.75" thickBot="1" x14ac:dyDescent="0.3">
      <c r="A78" s="37">
        <v>1</v>
      </c>
      <c r="B78" s="23"/>
      <c r="C78" s="155">
        <f>'от продуктов'!$J$38</f>
        <v>206.71104856389127</v>
      </c>
      <c r="D78" s="24">
        <v>0.8</v>
      </c>
      <c r="E78" s="24">
        <v>0.12</v>
      </c>
      <c r="F78" s="24">
        <v>0.9</v>
      </c>
      <c r="G78" s="25">
        <f>C78*D78*E78*F78</f>
        <v>17.859834595920205</v>
      </c>
      <c r="H78" s="24">
        <v>1</v>
      </c>
      <c r="I78" s="24">
        <v>0.12</v>
      </c>
      <c r="J78" s="24">
        <v>0.9</v>
      </c>
      <c r="K78" s="26">
        <f>C78*H78*I78*J78</f>
        <v>22.324793244900256</v>
      </c>
      <c r="L78" s="175">
        <f>'присмотр гр КВП'!$J$14</f>
        <v>0.92462856393600001</v>
      </c>
      <c r="M78" s="178">
        <f>'присмотр гр КВП'!$H$29</f>
        <v>2.2514927510204084</v>
      </c>
      <c r="N78" s="175">
        <f>'присмотр гр КВП'!$J$41</f>
        <v>1.2855644081632653</v>
      </c>
      <c r="O78" s="24">
        <v>0</v>
      </c>
      <c r="P78" s="181">
        <f>'присмотр гр КВП'!$C$48</f>
        <v>1.7846742892478695</v>
      </c>
      <c r="Q78" s="27">
        <f>L78+M78+N78+O78+P78</f>
        <v>6.2463600123675427</v>
      </c>
      <c r="R78" s="289">
        <f>G78+Q78</f>
        <v>24.106194608287748</v>
      </c>
      <c r="S78" s="294">
        <f>K78+Q78</f>
        <v>28.571153257267799</v>
      </c>
      <c r="T78" s="20">
        <f>R78*1.057</f>
        <v>25.480247700960149</v>
      </c>
      <c r="U78" s="21">
        <f>S78*1.057</f>
        <v>30.199708992932063</v>
      </c>
    </row>
  </sheetData>
  <mergeCells count="199">
    <mergeCell ref="O75:O77"/>
    <mergeCell ref="T65:U67"/>
    <mergeCell ref="A72:S72"/>
    <mergeCell ref="A74:A77"/>
    <mergeCell ref="B74:B77"/>
    <mergeCell ref="C74:K74"/>
    <mergeCell ref="L74:Q74"/>
    <mergeCell ref="R74:S76"/>
    <mergeCell ref="P75:P77"/>
    <mergeCell ref="Q75:Q77"/>
    <mergeCell ref="D76:D77"/>
    <mergeCell ref="E76:E77"/>
    <mergeCell ref="F76:F77"/>
    <mergeCell ref="H76:H77"/>
    <mergeCell ref="I76:I77"/>
    <mergeCell ref="J76:J77"/>
    <mergeCell ref="T74:U76"/>
    <mergeCell ref="C75:C77"/>
    <mergeCell ref="D75:F75"/>
    <mergeCell ref="G75:G77"/>
    <mergeCell ref="H75:J75"/>
    <mergeCell ref="K75:K77"/>
    <mergeCell ref="L75:L77"/>
    <mergeCell ref="M75:M77"/>
    <mergeCell ref="N75:N77"/>
    <mergeCell ref="J58:J59"/>
    <mergeCell ref="A63:S63"/>
    <mergeCell ref="A65:A68"/>
    <mergeCell ref="B65:B68"/>
    <mergeCell ref="C65:K65"/>
    <mergeCell ref="L65:Q65"/>
    <mergeCell ref="R65:S67"/>
    <mergeCell ref="C66:C68"/>
    <mergeCell ref="D66:F66"/>
    <mergeCell ref="G66:G68"/>
    <mergeCell ref="H66:J66"/>
    <mergeCell ref="K66:K68"/>
    <mergeCell ref="L66:L68"/>
    <mergeCell ref="M66:M68"/>
    <mergeCell ref="N66:N68"/>
    <mergeCell ref="O66:O68"/>
    <mergeCell ref="P66:P68"/>
    <mergeCell ref="Q66:Q68"/>
    <mergeCell ref="D67:D68"/>
    <mergeCell ref="E67:E68"/>
    <mergeCell ref="F67:F68"/>
    <mergeCell ref="H67:H68"/>
    <mergeCell ref="I67:I68"/>
    <mergeCell ref="J67:J68"/>
    <mergeCell ref="T47:U49"/>
    <mergeCell ref="A54:S54"/>
    <mergeCell ref="A56:A59"/>
    <mergeCell ref="B56:B59"/>
    <mergeCell ref="C56:K56"/>
    <mergeCell ref="L56:Q56"/>
    <mergeCell ref="R56:S58"/>
    <mergeCell ref="P57:P59"/>
    <mergeCell ref="Q57:Q59"/>
    <mergeCell ref="D58:D59"/>
    <mergeCell ref="E58:E59"/>
    <mergeCell ref="T56:U58"/>
    <mergeCell ref="C57:C59"/>
    <mergeCell ref="D57:F57"/>
    <mergeCell ref="G57:G59"/>
    <mergeCell ref="H57:J57"/>
    <mergeCell ref="K57:K59"/>
    <mergeCell ref="L57:L59"/>
    <mergeCell ref="M57:M59"/>
    <mergeCell ref="N57:N59"/>
    <mergeCell ref="O57:O59"/>
    <mergeCell ref="F58:F59"/>
    <mergeCell ref="H58:H59"/>
    <mergeCell ref="I58:I59"/>
    <mergeCell ref="J40:J41"/>
    <mergeCell ref="A45:S45"/>
    <mergeCell ref="A47:A50"/>
    <mergeCell ref="B47:B50"/>
    <mergeCell ref="C47:K47"/>
    <mergeCell ref="L47:Q47"/>
    <mergeCell ref="R47:S49"/>
    <mergeCell ref="C48:C50"/>
    <mergeCell ref="D48:F48"/>
    <mergeCell ref="G48:G50"/>
    <mergeCell ref="H48:J48"/>
    <mergeCell ref="K48:K50"/>
    <mergeCell ref="L48:L50"/>
    <mergeCell ref="M48:M50"/>
    <mergeCell ref="N48:N50"/>
    <mergeCell ref="O48:O50"/>
    <mergeCell ref="P48:P50"/>
    <mergeCell ref="Q48:Q50"/>
    <mergeCell ref="D49:D50"/>
    <mergeCell ref="E49:E50"/>
    <mergeCell ref="F49:F50"/>
    <mergeCell ref="H49:H50"/>
    <mergeCell ref="I49:I50"/>
    <mergeCell ref="J49:J50"/>
    <mergeCell ref="T29:U31"/>
    <mergeCell ref="A36:S36"/>
    <mergeCell ref="A38:A41"/>
    <mergeCell ref="B38:B41"/>
    <mergeCell ref="C38:K38"/>
    <mergeCell ref="L38:Q38"/>
    <mergeCell ref="R38:S40"/>
    <mergeCell ref="P39:P41"/>
    <mergeCell ref="Q39:Q41"/>
    <mergeCell ref="D40:D41"/>
    <mergeCell ref="E40:E41"/>
    <mergeCell ref="T38:U40"/>
    <mergeCell ref="C39:C41"/>
    <mergeCell ref="D39:F39"/>
    <mergeCell ref="G39:G41"/>
    <mergeCell ref="H39:J39"/>
    <mergeCell ref="K39:K41"/>
    <mergeCell ref="L39:L41"/>
    <mergeCell ref="M39:M41"/>
    <mergeCell ref="N39:N41"/>
    <mergeCell ref="O39:O41"/>
    <mergeCell ref="F40:F41"/>
    <mergeCell ref="H40:H41"/>
    <mergeCell ref="I40:I41"/>
    <mergeCell ref="A27:S27"/>
    <mergeCell ref="A29:A32"/>
    <mergeCell ref="B29:B32"/>
    <mergeCell ref="C29:K29"/>
    <mergeCell ref="L29:Q29"/>
    <mergeCell ref="R29:S31"/>
    <mergeCell ref="C30:C32"/>
    <mergeCell ref="D30:F30"/>
    <mergeCell ref="G30:G32"/>
    <mergeCell ref="H30:J30"/>
    <mergeCell ref="K30:K32"/>
    <mergeCell ref="L30:L32"/>
    <mergeCell ref="M30:M32"/>
    <mergeCell ref="N30:N32"/>
    <mergeCell ref="O30:O32"/>
    <mergeCell ref="P30:P32"/>
    <mergeCell ref="Q30:Q32"/>
    <mergeCell ref="D31:D32"/>
    <mergeCell ref="E31:E32"/>
    <mergeCell ref="F31:F32"/>
    <mergeCell ref="H31:H32"/>
    <mergeCell ref="I31:I32"/>
    <mergeCell ref="J31:J32"/>
    <mergeCell ref="T20:U22"/>
    <mergeCell ref="C21:C23"/>
    <mergeCell ref="D21:F21"/>
    <mergeCell ref="G21:G23"/>
    <mergeCell ref="H21:J21"/>
    <mergeCell ref="K21:K23"/>
    <mergeCell ref="L21:L23"/>
    <mergeCell ref="M21:M23"/>
    <mergeCell ref="N21:N23"/>
    <mergeCell ref="O21:O23"/>
    <mergeCell ref="F22:F23"/>
    <mergeCell ref="H22:H23"/>
    <mergeCell ref="I22:I23"/>
    <mergeCell ref="J22:J23"/>
    <mergeCell ref="J13:J14"/>
    <mergeCell ref="G12:G14"/>
    <mergeCell ref="H12:J12"/>
    <mergeCell ref="K12:K14"/>
    <mergeCell ref="L12:L14"/>
    <mergeCell ref="M12:M14"/>
    <mergeCell ref="N12:N14"/>
    <mergeCell ref="A18:S18"/>
    <mergeCell ref="A20:A23"/>
    <mergeCell ref="B20:B23"/>
    <mergeCell ref="C20:K20"/>
    <mergeCell ref="L20:Q20"/>
    <mergeCell ref="R20:S22"/>
    <mergeCell ref="P21:P23"/>
    <mergeCell ref="Q21:Q23"/>
    <mergeCell ref="D22:D23"/>
    <mergeCell ref="E22:E23"/>
    <mergeCell ref="A1:S1"/>
    <mergeCell ref="B2:O2"/>
    <mergeCell ref="B3:O3"/>
    <mergeCell ref="B4:O4"/>
    <mergeCell ref="B5:O5"/>
    <mergeCell ref="B6:U6"/>
    <mergeCell ref="B7:U7"/>
    <mergeCell ref="A9:S9"/>
    <mergeCell ref="A11:A14"/>
    <mergeCell ref="B11:B14"/>
    <mergeCell ref="C11:K11"/>
    <mergeCell ref="L11:Q11"/>
    <mergeCell ref="R11:S13"/>
    <mergeCell ref="T11:U13"/>
    <mergeCell ref="C12:C14"/>
    <mergeCell ref="D12:F12"/>
    <mergeCell ref="O12:O14"/>
    <mergeCell ref="P12:P14"/>
    <mergeCell ref="Q12:Q14"/>
    <mergeCell ref="D13:D14"/>
    <mergeCell ref="E13:E14"/>
    <mergeCell ref="F13:F14"/>
    <mergeCell ref="H13:H14"/>
    <mergeCell ref="I13:I14"/>
  </mergeCells>
  <pageMargins left="0.23622047244094491" right="0.23622047244094491" top="0.35433070866141736" bottom="0.35433070866141736" header="0.31496062992125984" footer="0.31496062992125984"/>
  <pageSetup paperSize="9" scale="42" orientation="portrait" r:id="rId1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2" zoomScaleNormal="100" workbookViewId="0">
      <selection activeCell="R32" sqref="R32"/>
    </sheetView>
  </sheetViews>
  <sheetFormatPr defaultRowHeight="15" x14ac:dyDescent="0.25"/>
  <cols>
    <col min="2" max="2" width="43.7109375" customWidth="1"/>
    <col min="3" max="4" width="12.85546875" hidden="1" customWidth="1"/>
    <col min="5" max="5" width="14.42578125" hidden="1" customWidth="1"/>
    <col min="6" max="6" width="12.42578125" hidden="1" customWidth="1"/>
    <col min="7" max="7" width="12.42578125" customWidth="1"/>
    <col min="8" max="8" width="11.140625" customWidth="1"/>
    <col min="9" max="9" width="12.42578125" customWidth="1"/>
    <col min="10" max="10" width="10.140625" customWidth="1"/>
    <col min="11" max="12" width="9.5703125" bestFit="1" customWidth="1"/>
    <col min="14" max="14" width="8.85546875" customWidth="1"/>
  </cols>
  <sheetData>
    <row r="1" spans="1:14" hidden="1" x14ac:dyDescent="0.25">
      <c r="B1" t="s">
        <v>192</v>
      </c>
    </row>
    <row r="2" spans="1:14" x14ac:dyDescent="0.25">
      <c r="A2" s="140" t="s">
        <v>193</v>
      </c>
    </row>
    <row r="3" spans="1:14" x14ac:dyDescent="0.25">
      <c r="F3">
        <v>1.111</v>
      </c>
    </row>
    <row r="4" spans="1:14" ht="54.75" customHeight="1" x14ac:dyDescent="0.25">
      <c r="A4" s="396" t="s">
        <v>123</v>
      </c>
      <c r="B4" s="399" t="s">
        <v>259</v>
      </c>
      <c r="C4" s="393" t="s">
        <v>96</v>
      </c>
      <c r="D4" s="393"/>
      <c r="E4" s="393" t="s">
        <v>191</v>
      </c>
      <c r="F4" s="393"/>
      <c r="G4" s="393" t="s">
        <v>260</v>
      </c>
      <c r="H4" s="393"/>
      <c r="I4" s="393" t="s">
        <v>261</v>
      </c>
      <c r="J4" s="393"/>
      <c r="K4" s="377" t="s">
        <v>262</v>
      </c>
      <c r="L4" s="377"/>
      <c r="M4" s="377" t="s">
        <v>263</v>
      </c>
      <c r="N4" s="377"/>
    </row>
    <row r="5" spans="1:14" ht="15" customHeight="1" x14ac:dyDescent="0.25">
      <c r="A5" s="397"/>
      <c r="B5" s="399"/>
      <c r="C5" s="393" t="s">
        <v>80</v>
      </c>
      <c r="D5" s="393" t="s">
        <v>81</v>
      </c>
      <c r="E5" s="393" t="s">
        <v>80</v>
      </c>
      <c r="F5" s="393" t="s">
        <v>81</v>
      </c>
      <c r="G5" s="393" t="s">
        <v>80</v>
      </c>
      <c r="H5" s="393" t="s">
        <v>81</v>
      </c>
      <c r="I5" s="393" t="s">
        <v>80</v>
      </c>
      <c r="J5" s="393" t="s">
        <v>81</v>
      </c>
      <c r="K5" s="393" t="s">
        <v>80</v>
      </c>
      <c r="L5" s="393" t="s">
        <v>81</v>
      </c>
      <c r="M5" s="393" t="s">
        <v>80</v>
      </c>
      <c r="N5" s="393" t="s">
        <v>81</v>
      </c>
    </row>
    <row r="6" spans="1:14" x14ac:dyDescent="0.25">
      <c r="A6" s="398"/>
      <c r="B6" s="399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</row>
    <row r="7" spans="1:14" x14ac:dyDescent="0.25">
      <c r="A7" s="160">
        <v>1</v>
      </c>
      <c r="B7" s="157" t="s">
        <v>238</v>
      </c>
      <c r="C7" s="160">
        <v>86</v>
      </c>
      <c r="D7" s="160">
        <v>104</v>
      </c>
      <c r="E7" s="160">
        <f>ROUND(C7*$F$3,0)</f>
        <v>96</v>
      </c>
      <c r="F7" s="160">
        <f t="shared" ref="F7:F31" si="0">ROUND(D7*$F$3,0)</f>
        <v>116</v>
      </c>
      <c r="G7" s="168">
        <v>104</v>
      </c>
      <c r="H7" s="168">
        <v>126</v>
      </c>
      <c r="I7" s="179">
        <v>133</v>
      </c>
      <c r="J7" s="180">
        <v>162</v>
      </c>
      <c r="K7" s="170">
        <f>I7/G7*100</f>
        <v>127.88461538461537</v>
      </c>
      <c r="L7" s="170">
        <f>J7/H7*100</f>
        <v>128.57142857142858</v>
      </c>
      <c r="M7" s="171">
        <f>I7-G7</f>
        <v>29</v>
      </c>
      <c r="N7" s="172">
        <f>J7-H7</f>
        <v>36</v>
      </c>
    </row>
    <row r="8" spans="1:14" x14ac:dyDescent="0.25">
      <c r="A8" s="160">
        <v>2</v>
      </c>
      <c r="B8" s="161" t="s">
        <v>239</v>
      </c>
      <c r="C8" s="160">
        <v>86</v>
      </c>
      <c r="D8" s="160">
        <v>104</v>
      </c>
      <c r="E8" s="160">
        <f t="shared" ref="E8:E31" si="1">ROUND(C8*$F$3,0)</f>
        <v>96</v>
      </c>
      <c r="F8" s="160">
        <f t="shared" si="0"/>
        <v>116</v>
      </c>
      <c r="G8" s="168">
        <v>115</v>
      </c>
      <c r="H8" s="168">
        <v>140</v>
      </c>
      <c r="I8" s="179">
        <v>147</v>
      </c>
      <c r="J8" s="179">
        <v>180</v>
      </c>
      <c r="K8" s="170">
        <f t="shared" ref="K8:K40" si="2">I8/G8*100</f>
        <v>127.82608695652173</v>
      </c>
      <c r="L8" s="170">
        <f t="shared" ref="L8:L31" si="3">J8/H8*100</f>
        <v>128.57142857142858</v>
      </c>
      <c r="M8" s="171">
        <f t="shared" ref="M8:M31" si="4">I8-G8</f>
        <v>32</v>
      </c>
      <c r="N8" s="172">
        <f t="shared" ref="N8:N31" si="5">J8-H8</f>
        <v>40</v>
      </c>
    </row>
    <row r="9" spans="1:14" x14ac:dyDescent="0.25">
      <c r="A9" s="160">
        <v>3</v>
      </c>
      <c r="B9" s="161" t="s">
        <v>240</v>
      </c>
      <c r="C9" s="160">
        <v>81</v>
      </c>
      <c r="D9" s="160">
        <v>99</v>
      </c>
      <c r="E9" s="160">
        <f t="shared" si="1"/>
        <v>90</v>
      </c>
      <c r="F9" s="160">
        <f t="shared" si="0"/>
        <v>110</v>
      </c>
      <c r="G9" s="168">
        <v>99</v>
      </c>
      <c r="H9" s="168">
        <v>121</v>
      </c>
      <c r="I9" s="179">
        <v>128</v>
      </c>
      <c r="J9" s="179">
        <v>157</v>
      </c>
      <c r="K9" s="170">
        <f t="shared" si="2"/>
        <v>129.2929292929293</v>
      </c>
      <c r="L9" s="170">
        <f t="shared" si="3"/>
        <v>129.75206611570246</v>
      </c>
      <c r="M9" s="171">
        <f t="shared" si="4"/>
        <v>29</v>
      </c>
      <c r="N9" s="172">
        <f t="shared" si="5"/>
        <v>36</v>
      </c>
    </row>
    <row r="10" spans="1:14" x14ac:dyDescent="0.25">
      <c r="A10" s="160">
        <v>4</v>
      </c>
      <c r="B10" s="161" t="s">
        <v>241</v>
      </c>
      <c r="C10" s="160">
        <v>81</v>
      </c>
      <c r="D10" s="160">
        <v>99</v>
      </c>
      <c r="E10" s="160">
        <f t="shared" si="1"/>
        <v>90</v>
      </c>
      <c r="F10" s="160">
        <f t="shared" si="0"/>
        <v>110</v>
      </c>
      <c r="G10" s="168">
        <v>99</v>
      </c>
      <c r="H10" s="168">
        <v>121</v>
      </c>
      <c r="I10" s="179">
        <v>128</v>
      </c>
      <c r="J10" s="179">
        <v>157</v>
      </c>
      <c r="K10" s="170">
        <f t="shared" si="2"/>
        <v>129.2929292929293</v>
      </c>
      <c r="L10" s="170">
        <f t="shared" si="3"/>
        <v>129.75206611570246</v>
      </c>
      <c r="M10" s="171">
        <f t="shared" si="4"/>
        <v>29</v>
      </c>
      <c r="N10" s="172">
        <f t="shared" si="5"/>
        <v>36</v>
      </c>
    </row>
    <row r="11" spans="1:14" x14ac:dyDescent="0.25">
      <c r="A11" s="160">
        <v>5</v>
      </c>
      <c r="B11" s="161" t="s">
        <v>242</v>
      </c>
      <c r="C11" s="160">
        <v>94</v>
      </c>
      <c r="D11" s="160">
        <v>115</v>
      </c>
      <c r="E11" s="160">
        <f t="shared" si="1"/>
        <v>104</v>
      </c>
      <c r="F11" s="160">
        <f t="shared" si="0"/>
        <v>128</v>
      </c>
      <c r="G11" s="168">
        <v>115</v>
      </c>
      <c r="H11" s="168">
        <v>140</v>
      </c>
      <c r="I11" s="179">
        <v>147</v>
      </c>
      <c r="J11" s="179">
        <v>180</v>
      </c>
      <c r="K11" s="170">
        <f t="shared" si="2"/>
        <v>127.82608695652173</v>
      </c>
      <c r="L11" s="170">
        <f t="shared" si="3"/>
        <v>128.57142857142858</v>
      </c>
      <c r="M11" s="171">
        <f t="shared" si="4"/>
        <v>32</v>
      </c>
      <c r="N11" s="172">
        <f t="shared" si="5"/>
        <v>40</v>
      </c>
    </row>
    <row r="12" spans="1:14" x14ac:dyDescent="0.25">
      <c r="A12" s="160">
        <v>6</v>
      </c>
      <c r="B12" s="161" t="s">
        <v>243</v>
      </c>
      <c r="C12" s="160">
        <v>81</v>
      </c>
      <c r="D12" s="160">
        <v>99</v>
      </c>
      <c r="E12" s="160">
        <f t="shared" si="1"/>
        <v>90</v>
      </c>
      <c r="F12" s="160">
        <f t="shared" si="0"/>
        <v>110</v>
      </c>
      <c r="G12" s="168">
        <v>99</v>
      </c>
      <c r="H12" s="168">
        <v>121</v>
      </c>
      <c r="I12" s="179">
        <v>128</v>
      </c>
      <c r="J12" s="179">
        <v>157</v>
      </c>
      <c r="K12" s="170">
        <f t="shared" si="2"/>
        <v>129.2929292929293</v>
      </c>
      <c r="L12" s="170">
        <f t="shared" si="3"/>
        <v>129.75206611570246</v>
      </c>
      <c r="M12" s="171">
        <f t="shared" si="4"/>
        <v>29</v>
      </c>
      <c r="N12" s="172">
        <f t="shared" si="5"/>
        <v>36</v>
      </c>
    </row>
    <row r="13" spans="1:14" x14ac:dyDescent="0.25">
      <c r="A13" s="160">
        <v>7</v>
      </c>
      <c r="B13" s="161" t="s">
        <v>244</v>
      </c>
      <c r="C13" s="160">
        <v>77</v>
      </c>
      <c r="D13" s="160">
        <v>94</v>
      </c>
      <c r="E13" s="160">
        <f t="shared" si="1"/>
        <v>86</v>
      </c>
      <c r="F13" s="160">
        <f t="shared" si="0"/>
        <v>104</v>
      </c>
      <c r="G13" s="168">
        <v>95</v>
      </c>
      <c r="H13" s="168">
        <v>114</v>
      </c>
      <c r="I13" s="179">
        <v>120</v>
      </c>
      <c r="J13" s="179">
        <v>146</v>
      </c>
      <c r="K13" s="170">
        <f t="shared" si="2"/>
        <v>126.31578947368421</v>
      </c>
      <c r="L13" s="170">
        <f t="shared" si="3"/>
        <v>128.07017543859649</v>
      </c>
      <c r="M13" s="171">
        <f t="shared" si="4"/>
        <v>25</v>
      </c>
      <c r="N13" s="172">
        <f t="shared" si="5"/>
        <v>32</v>
      </c>
    </row>
    <row r="14" spans="1:14" x14ac:dyDescent="0.25">
      <c r="A14" s="160">
        <v>8</v>
      </c>
      <c r="B14" s="161" t="s">
        <v>245</v>
      </c>
      <c r="C14" s="160">
        <v>77</v>
      </c>
      <c r="D14" s="160">
        <v>94</v>
      </c>
      <c r="E14" s="160">
        <f t="shared" si="1"/>
        <v>86</v>
      </c>
      <c r="F14" s="160">
        <f t="shared" si="0"/>
        <v>104</v>
      </c>
      <c r="G14" s="168">
        <v>95</v>
      </c>
      <c r="H14" s="168">
        <v>114</v>
      </c>
      <c r="I14" s="179">
        <v>120</v>
      </c>
      <c r="J14" s="179">
        <v>146</v>
      </c>
      <c r="K14" s="170">
        <f t="shared" si="2"/>
        <v>126.31578947368421</v>
      </c>
      <c r="L14" s="170">
        <f t="shared" si="3"/>
        <v>128.07017543859649</v>
      </c>
      <c r="M14" s="171">
        <f t="shared" si="4"/>
        <v>25</v>
      </c>
      <c r="N14" s="172">
        <f t="shared" si="5"/>
        <v>32</v>
      </c>
    </row>
    <row r="15" spans="1:14" x14ac:dyDescent="0.25">
      <c r="A15" s="160">
        <v>9</v>
      </c>
      <c r="B15" s="161" t="s">
        <v>246</v>
      </c>
      <c r="C15" s="160">
        <v>73</v>
      </c>
      <c r="D15" s="160">
        <v>90</v>
      </c>
      <c r="E15" s="160">
        <f t="shared" si="1"/>
        <v>81</v>
      </c>
      <c r="F15" s="160">
        <f t="shared" si="0"/>
        <v>100</v>
      </c>
      <c r="G15" s="168">
        <v>90</v>
      </c>
      <c r="H15" s="168">
        <v>109</v>
      </c>
      <c r="I15" s="179">
        <v>115</v>
      </c>
      <c r="J15" s="179">
        <v>141</v>
      </c>
      <c r="K15" s="170">
        <f t="shared" si="2"/>
        <v>127.77777777777777</v>
      </c>
      <c r="L15" s="170">
        <f t="shared" si="3"/>
        <v>129.35779816513761</v>
      </c>
      <c r="M15" s="171">
        <f t="shared" si="4"/>
        <v>25</v>
      </c>
      <c r="N15" s="172">
        <f t="shared" si="5"/>
        <v>32</v>
      </c>
    </row>
    <row r="16" spans="1:14" ht="31.5" customHeight="1" x14ac:dyDescent="0.25">
      <c r="A16" s="160">
        <v>10</v>
      </c>
      <c r="B16" s="158" t="s">
        <v>83</v>
      </c>
      <c r="C16" s="168">
        <v>90</v>
      </c>
      <c r="D16" s="168">
        <v>109</v>
      </c>
      <c r="E16" s="168">
        <f t="shared" si="1"/>
        <v>100</v>
      </c>
      <c r="F16" s="168">
        <f t="shared" si="0"/>
        <v>121</v>
      </c>
      <c r="G16" s="168">
        <v>109</v>
      </c>
      <c r="H16" s="168">
        <v>133</v>
      </c>
      <c r="I16" s="179">
        <v>141</v>
      </c>
      <c r="J16" s="180">
        <v>173</v>
      </c>
      <c r="K16" s="170">
        <f t="shared" si="2"/>
        <v>129.35779816513761</v>
      </c>
      <c r="L16" s="170">
        <f t="shared" si="3"/>
        <v>130.0751879699248</v>
      </c>
      <c r="M16" s="171">
        <f t="shared" si="4"/>
        <v>32</v>
      </c>
      <c r="N16" s="172">
        <f t="shared" si="5"/>
        <v>40</v>
      </c>
    </row>
    <row r="17" spans="1:14" x14ac:dyDescent="0.25">
      <c r="A17" s="160">
        <v>11</v>
      </c>
      <c r="B17" s="161" t="s">
        <v>247</v>
      </c>
      <c r="C17" s="160">
        <v>81</v>
      </c>
      <c r="D17" s="160">
        <v>99</v>
      </c>
      <c r="E17" s="160">
        <f t="shared" si="1"/>
        <v>90</v>
      </c>
      <c r="F17" s="160">
        <f t="shared" si="0"/>
        <v>110</v>
      </c>
      <c r="G17" s="168">
        <v>99</v>
      </c>
      <c r="H17" s="168">
        <v>121</v>
      </c>
      <c r="I17" s="179">
        <v>128</v>
      </c>
      <c r="J17" s="179">
        <v>157</v>
      </c>
      <c r="K17" s="170">
        <f t="shared" si="2"/>
        <v>129.2929292929293</v>
      </c>
      <c r="L17" s="170">
        <f t="shared" si="3"/>
        <v>129.75206611570246</v>
      </c>
      <c r="M17" s="171">
        <f t="shared" si="4"/>
        <v>29</v>
      </c>
      <c r="N17" s="172">
        <f t="shared" si="5"/>
        <v>36</v>
      </c>
    </row>
    <row r="18" spans="1:14" x14ac:dyDescent="0.25">
      <c r="A18" s="160">
        <v>12</v>
      </c>
      <c r="B18" s="161" t="s">
        <v>248</v>
      </c>
      <c r="C18" s="163">
        <v>86</v>
      </c>
      <c r="D18" s="163">
        <v>104</v>
      </c>
      <c r="E18" s="163">
        <f t="shared" si="1"/>
        <v>96</v>
      </c>
      <c r="F18" s="163">
        <f t="shared" si="0"/>
        <v>116</v>
      </c>
      <c r="G18" s="167">
        <v>99</v>
      </c>
      <c r="H18" s="167">
        <v>121</v>
      </c>
      <c r="I18" s="179">
        <v>128</v>
      </c>
      <c r="J18" s="179">
        <v>157</v>
      </c>
      <c r="K18" s="170">
        <f t="shared" si="2"/>
        <v>129.2929292929293</v>
      </c>
      <c r="L18" s="170">
        <f t="shared" si="3"/>
        <v>129.75206611570246</v>
      </c>
      <c r="M18" s="171">
        <f t="shared" si="4"/>
        <v>29</v>
      </c>
      <c r="N18" s="172">
        <f t="shared" si="5"/>
        <v>36</v>
      </c>
    </row>
    <row r="19" spans="1:14" x14ac:dyDescent="0.25">
      <c r="A19" s="160">
        <v>13</v>
      </c>
      <c r="B19" s="161" t="s">
        <v>249</v>
      </c>
      <c r="C19" s="160">
        <v>73</v>
      </c>
      <c r="D19" s="160">
        <v>90</v>
      </c>
      <c r="E19" s="160">
        <f t="shared" si="1"/>
        <v>81</v>
      </c>
      <c r="F19" s="160">
        <f t="shared" si="0"/>
        <v>100</v>
      </c>
      <c r="G19" s="168">
        <v>90</v>
      </c>
      <c r="H19" s="168">
        <v>109</v>
      </c>
      <c r="I19" s="179">
        <v>115</v>
      </c>
      <c r="J19" s="179">
        <v>141</v>
      </c>
      <c r="K19" s="170">
        <f t="shared" si="2"/>
        <v>127.77777777777777</v>
      </c>
      <c r="L19" s="170">
        <f t="shared" si="3"/>
        <v>129.35779816513761</v>
      </c>
      <c r="M19" s="171">
        <f t="shared" si="4"/>
        <v>25</v>
      </c>
      <c r="N19" s="172">
        <f t="shared" si="5"/>
        <v>32</v>
      </c>
    </row>
    <row r="20" spans="1:14" x14ac:dyDescent="0.25">
      <c r="A20" s="160">
        <v>14</v>
      </c>
      <c r="B20" s="161" t="s">
        <v>250</v>
      </c>
      <c r="C20" s="160">
        <v>73</v>
      </c>
      <c r="D20" s="160">
        <v>90</v>
      </c>
      <c r="E20" s="160">
        <f t="shared" si="1"/>
        <v>81</v>
      </c>
      <c r="F20" s="160">
        <f t="shared" si="0"/>
        <v>100</v>
      </c>
      <c r="G20" s="168">
        <v>90</v>
      </c>
      <c r="H20" s="168">
        <v>109</v>
      </c>
      <c r="I20" s="179">
        <v>115</v>
      </c>
      <c r="J20" s="179">
        <v>141</v>
      </c>
      <c r="K20" s="170">
        <f t="shared" si="2"/>
        <v>127.77777777777777</v>
      </c>
      <c r="L20" s="170">
        <f t="shared" si="3"/>
        <v>129.35779816513761</v>
      </c>
      <c r="M20" s="171">
        <f t="shared" si="4"/>
        <v>25</v>
      </c>
      <c r="N20" s="172">
        <f t="shared" si="5"/>
        <v>32</v>
      </c>
    </row>
    <row r="21" spans="1:14" x14ac:dyDescent="0.25">
      <c r="A21" s="160">
        <v>15</v>
      </c>
      <c r="B21" s="161" t="s">
        <v>251</v>
      </c>
      <c r="C21" s="160">
        <v>73</v>
      </c>
      <c r="D21" s="160">
        <v>90</v>
      </c>
      <c r="E21" s="160">
        <f t="shared" si="1"/>
        <v>81</v>
      </c>
      <c r="F21" s="160">
        <f t="shared" si="0"/>
        <v>100</v>
      </c>
      <c r="G21" s="168">
        <v>90</v>
      </c>
      <c r="H21" s="168">
        <v>109</v>
      </c>
      <c r="I21" s="179">
        <v>115</v>
      </c>
      <c r="J21" s="179">
        <v>141</v>
      </c>
      <c r="K21" s="170">
        <f t="shared" si="2"/>
        <v>127.77777777777777</v>
      </c>
      <c r="L21" s="170">
        <f t="shared" si="3"/>
        <v>129.35779816513761</v>
      </c>
      <c r="M21" s="171">
        <f t="shared" si="4"/>
        <v>25</v>
      </c>
      <c r="N21" s="172">
        <f t="shared" si="5"/>
        <v>32</v>
      </c>
    </row>
    <row r="22" spans="1:14" x14ac:dyDescent="0.25">
      <c r="A22" s="160">
        <v>16</v>
      </c>
      <c r="B22" s="161" t="s">
        <v>252</v>
      </c>
      <c r="C22" s="160">
        <v>77</v>
      </c>
      <c r="D22" s="160">
        <v>94</v>
      </c>
      <c r="E22" s="160">
        <f t="shared" si="1"/>
        <v>86</v>
      </c>
      <c r="F22" s="160">
        <f t="shared" si="0"/>
        <v>104</v>
      </c>
      <c r="G22" s="168">
        <v>95</v>
      </c>
      <c r="H22" s="168">
        <v>114</v>
      </c>
      <c r="I22" s="179">
        <v>120</v>
      </c>
      <c r="J22" s="179">
        <v>146</v>
      </c>
      <c r="K22" s="170">
        <f t="shared" si="2"/>
        <v>126.31578947368421</v>
      </c>
      <c r="L22" s="170">
        <f t="shared" si="3"/>
        <v>128.07017543859649</v>
      </c>
      <c r="M22" s="171">
        <f t="shared" si="4"/>
        <v>25</v>
      </c>
      <c r="N22" s="172">
        <f t="shared" si="5"/>
        <v>32</v>
      </c>
    </row>
    <row r="23" spans="1:14" x14ac:dyDescent="0.25">
      <c r="A23" s="160">
        <v>17</v>
      </c>
      <c r="B23" s="161" t="s">
        <v>253</v>
      </c>
      <c r="C23" s="160">
        <v>77</v>
      </c>
      <c r="D23" s="160">
        <v>94</v>
      </c>
      <c r="E23" s="160">
        <f t="shared" si="1"/>
        <v>86</v>
      </c>
      <c r="F23" s="160">
        <f t="shared" si="0"/>
        <v>104</v>
      </c>
      <c r="G23" s="168">
        <v>95</v>
      </c>
      <c r="H23" s="168">
        <v>114</v>
      </c>
      <c r="I23" s="179">
        <v>120</v>
      </c>
      <c r="J23" s="179">
        <v>146</v>
      </c>
      <c r="K23" s="170">
        <f t="shared" si="2"/>
        <v>126.31578947368421</v>
      </c>
      <c r="L23" s="170">
        <f t="shared" si="3"/>
        <v>128.07017543859649</v>
      </c>
      <c r="M23" s="171">
        <f t="shared" si="4"/>
        <v>25</v>
      </c>
      <c r="N23" s="172">
        <f t="shared" si="5"/>
        <v>32</v>
      </c>
    </row>
    <row r="24" spans="1:14" x14ac:dyDescent="0.25">
      <c r="A24" s="160">
        <v>18</v>
      </c>
      <c r="B24" s="161" t="s">
        <v>258</v>
      </c>
      <c r="C24" s="160">
        <v>77</v>
      </c>
      <c r="D24" s="160">
        <v>94</v>
      </c>
      <c r="E24" s="160">
        <f t="shared" si="1"/>
        <v>86</v>
      </c>
      <c r="F24" s="160">
        <f t="shared" si="0"/>
        <v>104</v>
      </c>
      <c r="G24" s="168">
        <v>95</v>
      </c>
      <c r="H24" s="168">
        <v>114</v>
      </c>
      <c r="I24" s="179">
        <v>120</v>
      </c>
      <c r="J24" s="179">
        <v>146</v>
      </c>
      <c r="K24" s="170">
        <f t="shared" si="2"/>
        <v>126.31578947368421</v>
      </c>
      <c r="L24" s="170">
        <f t="shared" si="3"/>
        <v>128.07017543859649</v>
      </c>
      <c r="M24" s="171">
        <f t="shared" si="4"/>
        <v>25</v>
      </c>
      <c r="N24" s="172">
        <f t="shared" si="5"/>
        <v>32</v>
      </c>
    </row>
    <row r="25" spans="1:14" x14ac:dyDescent="0.25">
      <c r="A25" s="160">
        <v>19</v>
      </c>
      <c r="B25" s="161" t="s">
        <v>254</v>
      </c>
      <c r="C25" s="160">
        <v>73</v>
      </c>
      <c r="D25" s="160">
        <v>90</v>
      </c>
      <c r="E25" s="160">
        <f t="shared" si="1"/>
        <v>81</v>
      </c>
      <c r="F25" s="160">
        <f t="shared" si="0"/>
        <v>100</v>
      </c>
      <c r="G25" s="168">
        <v>90</v>
      </c>
      <c r="H25" s="168">
        <v>109</v>
      </c>
      <c r="I25" s="179">
        <v>115</v>
      </c>
      <c r="J25" s="179">
        <v>141</v>
      </c>
      <c r="K25" s="170">
        <f t="shared" si="2"/>
        <v>127.77777777777777</v>
      </c>
      <c r="L25" s="170">
        <f t="shared" si="3"/>
        <v>129.35779816513761</v>
      </c>
      <c r="M25" s="171">
        <f t="shared" si="4"/>
        <v>25</v>
      </c>
      <c r="N25" s="172">
        <f t="shared" si="5"/>
        <v>32</v>
      </c>
    </row>
    <row r="26" spans="1:14" x14ac:dyDescent="0.25">
      <c r="A26" s="160">
        <v>20</v>
      </c>
      <c r="B26" s="161" t="s">
        <v>255</v>
      </c>
      <c r="C26" s="160">
        <v>73</v>
      </c>
      <c r="D26" s="160">
        <v>90</v>
      </c>
      <c r="E26" s="160">
        <f t="shared" si="1"/>
        <v>81</v>
      </c>
      <c r="F26" s="160">
        <f t="shared" si="0"/>
        <v>100</v>
      </c>
      <c r="G26" s="168">
        <v>90</v>
      </c>
      <c r="H26" s="168">
        <v>109</v>
      </c>
      <c r="I26" s="179">
        <v>115</v>
      </c>
      <c r="J26" s="179">
        <v>141</v>
      </c>
      <c r="K26" s="170">
        <f t="shared" si="2"/>
        <v>127.77777777777777</v>
      </c>
      <c r="L26" s="170">
        <f t="shared" si="3"/>
        <v>129.35779816513761</v>
      </c>
      <c r="M26" s="171">
        <f t="shared" si="4"/>
        <v>25</v>
      </c>
      <c r="N26" s="172">
        <f t="shared" si="5"/>
        <v>32</v>
      </c>
    </row>
    <row r="27" spans="1:14" x14ac:dyDescent="0.25">
      <c r="A27" s="160">
        <v>21</v>
      </c>
      <c r="B27" s="159" t="s">
        <v>75</v>
      </c>
      <c r="C27" s="160">
        <v>73</v>
      </c>
      <c r="D27" s="160">
        <v>90</v>
      </c>
      <c r="E27" s="160">
        <f t="shared" si="1"/>
        <v>81</v>
      </c>
      <c r="F27" s="160">
        <f t="shared" si="0"/>
        <v>100</v>
      </c>
      <c r="G27" s="168">
        <v>90</v>
      </c>
      <c r="H27" s="168">
        <v>109</v>
      </c>
      <c r="I27" s="179">
        <v>115</v>
      </c>
      <c r="J27" s="179">
        <v>141</v>
      </c>
      <c r="K27" s="170">
        <f t="shared" si="2"/>
        <v>127.77777777777777</v>
      </c>
      <c r="L27" s="170">
        <f t="shared" si="3"/>
        <v>129.35779816513761</v>
      </c>
      <c r="M27" s="171">
        <f t="shared" si="4"/>
        <v>25</v>
      </c>
      <c r="N27" s="172">
        <f t="shared" si="5"/>
        <v>32</v>
      </c>
    </row>
    <row r="28" spans="1:14" x14ac:dyDescent="0.25">
      <c r="A28" s="160">
        <v>22</v>
      </c>
      <c r="B28" s="159" t="s">
        <v>76</v>
      </c>
      <c r="C28" s="160">
        <v>73</v>
      </c>
      <c r="D28" s="160">
        <v>90</v>
      </c>
      <c r="E28" s="160">
        <f t="shared" si="1"/>
        <v>81</v>
      </c>
      <c r="F28" s="160">
        <f t="shared" si="0"/>
        <v>100</v>
      </c>
      <c r="G28" s="168">
        <v>90</v>
      </c>
      <c r="H28" s="168">
        <v>109</v>
      </c>
      <c r="I28" s="179">
        <v>115</v>
      </c>
      <c r="J28" s="179">
        <v>141</v>
      </c>
      <c r="K28" s="170">
        <f t="shared" si="2"/>
        <v>127.77777777777777</v>
      </c>
      <c r="L28" s="170">
        <f t="shared" si="3"/>
        <v>129.35779816513761</v>
      </c>
      <c r="M28" s="171">
        <f t="shared" si="4"/>
        <v>25</v>
      </c>
      <c r="N28" s="172">
        <f t="shared" si="5"/>
        <v>32</v>
      </c>
    </row>
    <row r="29" spans="1:14" x14ac:dyDescent="0.25">
      <c r="A29" s="160">
        <v>23</v>
      </c>
      <c r="B29" s="159" t="s">
        <v>77</v>
      </c>
      <c r="C29" s="160">
        <v>73</v>
      </c>
      <c r="D29" s="160">
        <v>90</v>
      </c>
      <c r="E29" s="160">
        <f t="shared" si="1"/>
        <v>81</v>
      </c>
      <c r="F29" s="160">
        <f t="shared" si="0"/>
        <v>100</v>
      </c>
      <c r="G29" s="168">
        <v>90</v>
      </c>
      <c r="H29" s="168">
        <v>109</v>
      </c>
      <c r="I29" s="179">
        <v>115</v>
      </c>
      <c r="J29" s="179">
        <v>141</v>
      </c>
      <c r="K29" s="170">
        <f t="shared" si="2"/>
        <v>127.77777777777777</v>
      </c>
      <c r="L29" s="170">
        <f t="shared" si="3"/>
        <v>129.35779816513761</v>
      </c>
      <c r="M29" s="171">
        <f t="shared" si="4"/>
        <v>25</v>
      </c>
      <c r="N29" s="172">
        <f t="shared" si="5"/>
        <v>32</v>
      </c>
    </row>
    <row r="30" spans="1:14" x14ac:dyDescent="0.25">
      <c r="A30" s="160">
        <v>24</v>
      </c>
      <c r="B30" s="159" t="s">
        <v>78</v>
      </c>
      <c r="C30" s="160">
        <v>73</v>
      </c>
      <c r="D30" s="160">
        <v>90</v>
      </c>
      <c r="E30" s="160">
        <f t="shared" si="1"/>
        <v>81</v>
      </c>
      <c r="F30" s="160">
        <f t="shared" si="0"/>
        <v>100</v>
      </c>
      <c r="G30" s="168">
        <v>90</v>
      </c>
      <c r="H30" s="168">
        <v>109</v>
      </c>
      <c r="I30" s="179">
        <v>115</v>
      </c>
      <c r="J30" s="179">
        <v>141</v>
      </c>
      <c r="K30" s="170">
        <f t="shared" si="2"/>
        <v>127.77777777777777</v>
      </c>
      <c r="L30" s="170">
        <f t="shared" si="3"/>
        <v>129.35779816513761</v>
      </c>
      <c r="M30" s="171">
        <f t="shared" si="4"/>
        <v>25</v>
      </c>
      <c r="N30" s="172">
        <f t="shared" si="5"/>
        <v>32</v>
      </c>
    </row>
    <row r="31" spans="1:14" x14ac:dyDescent="0.25">
      <c r="A31" s="160">
        <v>25</v>
      </c>
      <c r="B31" s="159" t="s">
        <v>79</v>
      </c>
      <c r="C31" s="160">
        <v>73</v>
      </c>
      <c r="D31" s="160">
        <v>90</v>
      </c>
      <c r="E31" s="160">
        <f t="shared" si="1"/>
        <v>81</v>
      </c>
      <c r="F31" s="160">
        <f t="shared" si="0"/>
        <v>100</v>
      </c>
      <c r="G31" s="168">
        <v>90</v>
      </c>
      <c r="H31" s="168">
        <v>109</v>
      </c>
      <c r="I31" s="179">
        <v>115</v>
      </c>
      <c r="J31" s="179">
        <v>141</v>
      </c>
      <c r="K31" s="170">
        <f t="shared" si="2"/>
        <v>127.77777777777777</v>
      </c>
      <c r="L31" s="170">
        <f t="shared" si="3"/>
        <v>129.35779816513761</v>
      </c>
      <c r="M31" s="171">
        <f t="shared" si="4"/>
        <v>25</v>
      </c>
      <c r="N31" s="172">
        <f t="shared" si="5"/>
        <v>32</v>
      </c>
    </row>
    <row r="32" spans="1:14" ht="17.25" customHeight="1" x14ac:dyDescent="0.25">
      <c r="A32" s="394" t="s">
        <v>230</v>
      </c>
      <c r="B32" s="395"/>
      <c r="C32" s="395"/>
      <c r="D32" s="395"/>
      <c r="E32" s="395"/>
      <c r="F32" s="395"/>
      <c r="G32" s="395"/>
      <c r="H32" s="395"/>
      <c r="I32" s="395"/>
      <c r="J32" s="395"/>
      <c r="K32" s="395"/>
      <c r="L32" s="395"/>
    </row>
    <row r="33" spans="1:14" ht="29.25" customHeight="1" x14ac:dyDescent="0.25">
      <c r="A33" s="168">
        <v>1</v>
      </c>
      <c r="B33" s="164" t="s">
        <v>214</v>
      </c>
      <c r="C33" s="165"/>
      <c r="D33" s="165"/>
      <c r="E33" s="165"/>
      <c r="F33" s="165"/>
      <c r="G33" s="168">
        <v>28</v>
      </c>
      <c r="H33" s="168">
        <v>34</v>
      </c>
      <c r="I33" s="168">
        <v>54</v>
      </c>
      <c r="J33" s="168">
        <v>61</v>
      </c>
      <c r="K33" s="170">
        <f t="shared" si="2"/>
        <v>192.85714285714286</v>
      </c>
      <c r="L33" s="169">
        <f>J33/H33*100</f>
        <v>179.41176470588235</v>
      </c>
      <c r="M33" s="173">
        <f>I33-G33</f>
        <v>26</v>
      </c>
      <c r="N33" s="174">
        <f>J33-H33</f>
        <v>27</v>
      </c>
    </row>
    <row r="34" spans="1:14" ht="30" x14ac:dyDescent="0.25">
      <c r="A34" s="168">
        <v>2</v>
      </c>
      <c r="B34" s="164" t="s">
        <v>231</v>
      </c>
      <c r="C34" s="165"/>
      <c r="D34" s="165"/>
      <c r="E34" s="165"/>
      <c r="F34" s="165"/>
      <c r="G34" s="168">
        <v>9</v>
      </c>
      <c r="H34" s="168">
        <v>11</v>
      </c>
      <c r="I34" s="168">
        <v>29</v>
      </c>
      <c r="J34" s="168">
        <v>31</v>
      </c>
      <c r="K34" s="170">
        <f t="shared" si="2"/>
        <v>322.22222222222223</v>
      </c>
      <c r="L34" s="169">
        <f>J34/H34*100</f>
        <v>281.81818181818181</v>
      </c>
      <c r="M34" s="173">
        <f t="shared" ref="M34:M40" si="6">I34-G34</f>
        <v>20</v>
      </c>
      <c r="N34" s="174">
        <f t="shared" ref="N34:N40" si="7">J34-H34</f>
        <v>20</v>
      </c>
    </row>
    <row r="35" spans="1:14" ht="30" x14ac:dyDescent="0.25">
      <c r="A35" s="168">
        <v>3</v>
      </c>
      <c r="B35" s="164" t="s">
        <v>232</v>
      </c>
      <c r="C35" s="165"/>
      <c r="D35" s="165"/>
      <c r="E35" s="165"/>
      <c r="F35" s="165"/>
      <c r="G35" s="168">
        <v>39</v>
      </c>
      <c r="H35" s="168">
        <v>47</v>
      </c>
      <c r="I35" s="168">
        <v>68</v>
      </c>
      <c r="J35" s="168">
        <v>79</v>
      </c>
      <c r="K35" s="170">
        <f t="shared" si="2"/>
        <v>174.35897435897436</v>
      </c>
      <c r="L35" s="169">
        <f t="shared" ref="L35:L40" si="8">J35/H35*100</f>
        <v>168.08510638297872</v>
      </c>
      <c r="M35" s="173">
        <f t="shared" si="6"/>
        <v>29</v>
      </c>
      <c r="N35" s="174">
        <f t="shared" si="7"/>
        <v>32</v>
      </c>
    </row>
    <row r="36" spans="1:14" ht="30" x14ac:dyDescent="0.25">
      <c r="A36" s="168">
        <v>4</v>
      </c>
      <c r="B36" s="164" t="s">
        <v>233</v>
      </c>
      <c r="C36" s="165"/>
      <c r="D36" s="165"/>
      <c r="E36" s="165"/>
      <c r="F36" s="165"/>
      <c r="G36" s="168">
        <v>16</v>
      </c>
      <c r="H36" s="168">
        <v>19</v>
      </c>
      <c r="I36" s="168">
        <v>38</v>
      </c>
      <c r="J36" s="168">
        <v>42</v>
      </c>
      <c r="K36" s="170">
        <f t="shared" si="2"/>
        <v>237.5</v>
      </c>
      <c r="L36" s="169">
        <f t="shared" si="8"/>
        <v>221.0526315789474</v>
      </c>
      <c r="M36" s="173">
        <f t="shared" si="6"/>
        <v>22</v>
      </c>
      <c r="N36" s="174">
        <f t="shared" si="7"/>
        <v>23</v>
      </c>
    </row>
    <row r="37" spans="1:14" ht="30" x14ac:dyDescent="0.25">
      <c r="A37" s="168">
        <v>5</v>
      </c>
      <c r="B37" s="164" t="s">
        <v>234</v>
      </c>
      <c r="C37" s="165"/>
      <c r="D37" s="165"/>
      <c r="E37" s="165"/>
      <c r="F37" s="165"/>
      <c r="G37" s="168">
        <v>31</v>
      </c>
      <c r="H37" s="168">
        <v>37</v>
      </c>
      <c r="I37" s="168">
        <v>58</v>
      </c>
      <c r="J37" s="168">
        <v>66</v>
      </c>
      <c r="K37" s="170">
        <f t="shared" si="2"/>
        <v>187.09677419354838</v>
      </c>
      <c r="L37" s="169">
        <f t="shared" si="8"/>
        <v>178.37837837837839</v>
      </c>
      <c r="M37" s="173">
        <f t="shared" si="6"/>
        <v>27</v>
      </c>
      <c r="N37" s="174">
        <f t="shared" si="7"/>
        <v>29</v>
      </c>
    </row>
    <row r="38" spans="1:14" ht="30" x14ac:dyDescent="0.25">
      <c r="A38" s="168">
        <v>6</v>
      </c>
      <c r="B38" s="166" t="s">
        <v>235</v>
      </c>
      <c r="C38" s="165"/>
      <c r="D38" s="165"/>
      <c r="E38" s="165"/>
      <c r="F38" s="165"/>
      <c r="G38" s="168">
        <v>10</v>
      </c>
      <c r="H38" s="168">
        <v>11</v>
      </c>
      <c r="I38" s="167">
        <v>30</v>
      </c>
      <c r="J38" s="167">
        <v>32</v>
      </c>
      <c r="K38" s="170">
        <f t="shared" si="2"/>
        <v>300</v>
      </c>
      <c r="L38" s="169">
        <f t="shared" si="8"/>
        <v>290.90909090909093</v>
      </c>
      <c r="M38" s="173">
        <f t="shared" si="6"/>
        <v>20</v>
      </c>
      <c r="N38" s="174">
        <f t="shared" si="7"/>
        <v>21</v>
      </c>
    </row>
    <row r="39" spans="1:14" ht="30" x14ac:dyDescent="0.25">
      <c r="A39" s="168">
        <v>7</v>
      </c>
      <c r="B39" s="166" t="s">
        <v>236</v>
      </c>
      <c r="C39" s="165"/>
      <c r="D39" s="165"/>
      <c r="E39" s="165"/>
      <c r="F39" s="165"/>
      <c r="G39" s="168">
        <v>43</v>
      </c>
      <c r="H39" s="168">
        <v>52</v>
      </c>
      <c r="I39" s="167">
        <v>73</v>
      </c>
      <c r="J39" s="167">
        <v>86</v>
      </c>
      <c r="K39" s="170">
        <f t="shared" si="2"/>
        <v>169.76744186046511</v>
      </c>
      <c r="L39" s="169">
        <f t="shared" si="8"/>
        <v>165.38461538461539</v>
      </c>
      <c r="M39" s="173">
        <f t="shared" si="6"/>
        <v>30</v>
      </c>
      <c r="N39" s="174">
        <f t="shared" si="7"/>
        <v>34</v>
      </c>
    </row>
    <row r="40" spans="1:14" ht="30" x14ac:dyDescent="0.25">
      <c r="A40" s="168">
        <v>8</v>
      </c>
      <c r="B40" s="166" t="s">
        <v>237</v>
      </c>
      <c r="C40" s="165"/>
      <c r="D40" s="165"/>
      <c r="E40" s="165"/>
      <c r="F40" s="165"/>
      <c r="G40" s="168">
        <v>18</v>
      </c>
      <c r="H40" s="168">
        <v>21</v>
      </c>
      <c r="I40" s="167">
        <v>40</v>
      </c>
      <c r="J40" s="167">
        <v>45</v>
      </c>
      <c r="K40" s="170">
        <f t="shared" si="2"/>
        <v>222.22222222222223</v>
      </c>
      <c r="L40" s="169">
        <f t="shared" si="8"/>
        <v>214.28571428571428</v>
      </c>
      <c r="M40" s="173">
        <f t="shared" si="6"/>
        <v>22</v>
      </c>
      <c r="N40" s="174">
        <f t="shared" si="7"/>
        <v>24</v>
      </c>
    </row>
  </sheetData>
  <mergeCells count="21">
    <mergeCell ref="A32:L32"/>
    <mergeCell ref="A4:A6"/>
    <mergeCell ref="B4:B6"/>
    <mergeCell ref="C4:D4"/>
    <mergeCell ref="E4:F4"/>
    <mergeCell ref="I4:J4"/>
    <mergeCell ref="C5:C6"/>
    <mergeCell ref="D5:D6"/>
    <mergeCell ref="E5:E6"/>
    <mergeCell ref="F5:F6"/>
    <mergeCell ref="I5:I6"/>
    <mergeCell ref="M4:N4"/>
    <mergeCell ref="M5:M6"/>
    <mergeCell ref="N5:N6"/>
    <mergeCell ref="J5:J6"/>
    <mergeCell ref="G4:H4"/>
    <mergeCell ref="G5:G6"/>
    <mergeCell ref="H5:H6"/>
    <mergeCell ref="K4:L4"/>
    <mergeCell ref="K5:K6"/>
    <mergeCell ref="L5:L6"/>
  </mergeCells>
  <conditionalFormatting sqref="B7:B8">
    <cfRule type="cellIs" dxfId="23" priority="8" stopIfTrue="1" operator="equal">
      <formula>"ИТОГО"</formula>
    </cfRule>
  </conditionalFormatting>
  <conditionalFormatting sqref="B9">
    <cfRule type="cellIs" dxfId="22" priority="7" stopIfTrue="1" operator="equal">
      <formula>"ИТОГО"</formula>
    </cfRule>
  </conditionalFormatting>
  <conditionalFormatting sqref="B10">
    <cfRule type="cellIs" dxfId="21" priority="6" stopIfTrue="1" operator="equal">
      <formula>"ИТОГО"</formula>
    </cfRule>
  </conditionalFormatting>
  <conditionalFormatting sqref="B11">
    <cfRule type="cellIs" dxfId="20" priority="5" stopIfTrue="1" operator="equal">
      <formula>"ИТОГО"</formula>
    </cfRule>
  </conditionalFormatting>
  <conditionalFormatting sqref="B12">
    <cfRule type="cellIs" dxfId="19" priority="4" stopIfTrue="1" operator="equal">
      <formula>"ИТОГО"</formula>
    </cfRule>
  </conditionalFormatting>
  <conditionalFormatting sqref="B13:B15">
    <cfRule type="cellIs" dxfId="18" priority="3" stopIfTrue="1" operator="equal">
      <formula>"ИТОГО"</formula>
    </cfRule>
  </conditionalFormatting>
  <conditionalFormatting sqref="B17:B19">
    <cfRule type="cellIs" dxfId="17" priority="2" stopIfTrue="1" operator="equal">
      <formula>"ИТОГО"</formula>
    </cfRule>
  </conditionalFormatting>
  <conditionalFormatting sqref="B20:B26">
    <cfRule type="cellIs" dxfId="16" priority="1" stopIfTrue="1" operator="equal">
      <formula>"ИТОГО"</formula>
    </cfRule>
  </conditionalFormatting>
  <pageMargins left="0.25" right="0.25" top="0.75" bottom="0.75" header="0.3" footer="0.3"/>
  <pageSetup paperSize="9" scale="6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view="pageBreakPreview" topLeftCell="A2" zoomScale="85" zoomScaleNormal="100" zoomScaleSheetLayoutView="85" workbookViewId="0">
      <selection activeCell="L35" sqref="L35"/>
    </sheetView>
  </sheetViews>
  <sheetFormatPr defaultRowHeight="15" x14ac:dyDescent="0.25"/>
  <cols>
    <col min="2" max="2" width="43.7109375" customWidth="1"/>
    <col min="3" max="4" width="12.85546875" hidden="1" customWidth="1"/>
    <col min="5" max="5" width="14.42578125" hidden="1" customWidth="1"/>
    <col min="6" max="6" width="12.42578125" hidden="1" customWidth="1"/>
    <col min="7" max="12" width="12.42578125" customWidth="1"/>
  </cols>
  <sheetData>
    <row r="1" spans="1:12" hidden="1" x14ac:dyDescent="0.25">
      <c r="B1" t="s">
        <v>192</v>
      </c>
    </row>
    <row r="2" spans="1:12" x14ac:dyDescent="0.25">
      <c r="A2" s="140" t="s">
        <v>193</v>
      </c>
    </row>
    <row r="3" spans="1:12" ht="15.75" thickBot="1" x14ac:dyDescent="0.3">
      <c r="F3">
        <v>1.111</v>
      </c>
    </row>
    <row r="4" spans="1:12" ht="56.45" customHeight="1" thickBot="1" x14ac:dyDescent="0.3">
      <c r="A4" s="402" t="s">
        <v>123</v>
      </c>
      <c r="B4" s="407" t="s">
        <v>82</v>
      </c>
      <c r="C4" s="410" t="s">
        <v>96</v>
      </c>
      <c r="D4" s="393"/>
      <c r="E4" s="393" t="s">
        <v>191</v>
      </c>
      <c r="F4" s="409"/>
      <c r="G4" s="411" t="s">
        <v>272</v>
      </c>
      <c r="H4" s="412"/>
      <c r="I4" s="405" t="s">
        <v>273</v>
      </c>
      <c r="J4" s="406"/>
      <c r="K4" s="405" t="s">
        <v>271</v>
      </c>
      <c r="L4" s="406"/>
    </row>
    <row r="5" spans="1:12" ht="6" customHeight="1" x14ac:dyDescent="0.25">
      <c r="A5" s="403"/>
      <c r="B5" s="408"/>
      <c r="C5" s="410" t="s">
        <v>80</v>
      </c>
      <c r="D5" s="393" t="s">
        <v>81</v>
      </c>
      <c r="E5" s="393" t="s">
        <v>80</v>
      </c>
      <c r="F5" s="409" t="s">
        <v>81</v>
      </c>
      <c r="G5" s="413" t="s">
        <v>80</v>
      </c>
      <c r="H5" s="414" t="s">
        <v>81</v>
      </c>
      <c r="I5" s="400" t="s">
        <v>80</v>
      </c>
      <c r="J5" s="401" t="s">
        <v>81</v>
      </c>
      <c r="K5" s="400" t="s">
        <v>80</v>
      </c>
      <c r="L5" s="401" t="s">
        <v>81</v>
      </c>
    </row>
    <row r="6" spans="1:12" ht="6" customHeight="1" x14ac:dyDescent="0.25">
      <c r="A6" s="404"/>
      <c r="B6" s="408"/>
      <c r="C6" s="410"/>
      <c r="D6" s="393"/>
      <c r="E6" s="393"/>
      <c r="F6" s="409"/>
      <c r="G6" s="400"/>
      <c r="H6" s="401"/>
      <c r="I6" s="400"/>
      <c r="J6" s="401"/>
      <c r="K6" s="400"/>
      <c r="L6" s="401"/>
    </row>
    <row r="7" spans="1:12" x14ac:dyDescent="0.25">
      <c r="A7" s="222">
        <v>1</v>
      </c>
      <c r="B7" s="223" t="s">
        <v>238</v>
      </c>
      <c r="C7" s="219">
        <v>86</v>
      </c>
      <c r="D7" s="160">
        <v>104</v>
      </c>
      <c r="E7" s="160">
        <f>ROUND(C7*$F$3,0)</f>
        <v>96</v>
      </c>
      <c r="F7" s="212">
        <f t="shared" ref="F7:F31" si="0">ROUND(D7*$F$3,0)</f>
        <v>116</v>
      </c>
      <c r="G7" s="215">
        <f>'Анализ 2022'!I7</f>
        <v>136.09603012633625</v>
      </c>
      <c r="H7" s="216">
        <f>'Анализ 2022'!J7</f>
        <v>165.04003012633626</v>
      </c>
      <c r="I7" s="215">
        <f>'Анализ 2022'!O7</f>
        <v>132.64480000000003</v>
      </c>
      <c r="J7" s="216">
        <f>'Анализ 2022'!P7</f>
        <v>161.59600000000003</v>
      </c>
      <c r="K7" s="215">
        <f>'Анализ 2022'!U7</f>
        <v>156.17217948350586</v>
      </c>
      <c r="L7" s="216">
        <f>'Анализ 2022'!V7</f>
        <v>189.65936935085625</v>
      </c>
    </row>
    <row r="8" spans="1:12" x14ac:dyDescent="0.25">
      <c r="A8" s="222">
        <v>2</v>
      </c>
      <c r="B8" s="224" t="s">
        <v>239</v>
      </c>
      <c r="C8" s="219">
        <v>86</v>
      </c>
      <c r="D8" s="160">
        <v>104</v>
      </c>
      <c r="E8" s="160">
        <f t="shared" ref="E8:E31" si="1">ROUND(C8*$F$3,0)</f>
        <v>96</v>
      </c>
      <c r="F8" s="212">
        <f t="shared" si="0"/>
        <v>116</v>
      </c>
      <c r="G8" s="215">
        <f>'Анализ 2022'!I8</f>
        <v>150.56893391642373</v>
      </c>
      <c r="H8" s="216">
        <f>'Анализ 2022'!J8</f>
        <v>183.13093391642371</v>
      </c>
      <c r="I8" s="215">
        <f>'Анализ 2022'!O8</f>
        <v>147.12040000000005</v>
      </c>
      <c r="J8" s="216">
        <f>'Анализ 2022'!P8</f>
        <v>179.69050000000001</v>
      </c>
      <c r="K8" s="215">
        <f>'Анализ 2022'!U8</f>
        <v>156.17217948350586</v>
      </c>
      <c r="L8" s="216">
        <f>'Анализ 2022'!V8</f>
        <v>189.65936935085625</v>
      </c>
    </row>
    <row r="9" spans="1:12" x14ac:dyDescent="0.25">
      <c r="A9" s="222">
        <v>3</v>
      </c>
      <c r="B9" s="224" t="s">
        <v>240</v>
      </c>
      <c r="C9" s="219">
        <v>81</v>
      </c>
      <c r="D9" s="160">
        <v>99</v>
      </c>
      <c r="E9" s="160">
        <f t="shared" si="1"/>
        <v>90</v>
      </c>
      <c r="F9" s="212">
        <f t="shared" si="0"/>
        <v>110</v>
      </c>
      <c r="G9" s="215">
        <f>'Анализ 2022'!I9</f>
        <v>130.26610787172012</v>
      </c>
      <c r="H9" s="216">
        <f>'Анализ 2022'!J9</f>
        <v>159.21010787172014</v>
      </c>
      <c r="I9" s="215">
        <f>'Анализ 2022'!O9</f>
        <v>127.69480000000003</v>
      </c>
      <c r="J9" s="216">
        <f>'Анализ 2022'!P9</f>
        <v>156.64600000000002</v>
      </c>
      <c r="K9" s="215" t="e">
        <f>'Анализ 2022'!U9</f>
        <v>#REF!</v>
      </c>
      <c r="L9" s="216" t="e">
        <f>'Анализ 2022'!V9</f>
        <v>#REF!</v>
      </c>
    </row>
    <row r="10" spans="1:12" x14ac:dyDescent="0.25">
      <c r="A10" s="222">
        <v>4</v>
      </c>
      <c r="B10" s="224" t="s">
        <v>241</v>
      </c>
      <c r="C10" s="219">
        <v>81</v>
      </c>
      <c r="D10" s="160">
        <v>99</v>
      </c>
      <c r="E10" s="160">
        <f t="shared" si="1"/>
        <v>90</v>
      </c>
      <c r="F10" s="212">
        <f t="shared" si="0"/>
        <v>110</v>
      </c>
      <c r="G10" s="215">
        <f>'Анализ 2022'!I10</f>
        <v>130.26603012633626</v>
      </c>
      <c r="H10" s="216">
        <f>'Анализ 2022'!J10</f>
        <v>159.21003012633625</v>
      </c>
      <c r="I10" s="215">
        <f>'Анализ 2022'!O10</f>
        <v>127.69480000000003</v>
      </c>
      <c r="J10" s="216">
        <f>'Анализ 2022'!P10</f>
        <v>156.64600000000002</v>
      </c>
      <c r="K10" s="215" t="e">
        <f>'Анализ 2022'!U10</f>
        <v>#REF!</v>
      </c>
      <c r="L10" s="216" t="e">
        <f>'Анализ 2022'!V10</f>
        <v>#REF!</v>
      </c>
    </row>
    <row r="11" spans="1:12" x14ac:dyDescent="0.25">
      <c r="A11" s="222">
        <v>5</v>
      </c>
      <c r="B11" s="224" t="s">
        <v>242</v>
      </c>
      <c r="C11" s="219">
        <v>94</v>
      </c>
      <c r="D11" s="160">
        <v>115</v>
      </c>
      <c r="E11" s="160">
        <f t="shared" si="1"/>
        <v>104</v>
      </c>
      <c r="F11" s="212">
        <f t="shared" si="0"/>
        <v>128</v>
      </c>
      <c r="G11" s="215">
        <f>'Анализ 2022'!I11</f>
        <v>150.56893391642373</v>
      </c>
      <c r="H11" s="216">
        <f>'Анализ 2022'!J11</f>
        <v>183.13093391642371</v>
      </c>
      <c r="I11" s="215">
        <f>'Анализ 2022'!O11</f>
        <v>147.12040000000005</v>
      </c>
      <c r="J11" s="216">
        <f>'Анализ 2022'!P11</f>
        <v>179.69050000000001</v>
      </c>
      <c r="K11" s="215">
        <f>'Анализ 2022'!U11</f>
        <v>156.17217948350586</v>
      </c>
      <c r="L11" s="216">
        <f>'Анализ 2022'!V11</f>
        <v>189.65936935085625</v>
      </c>
    </row>
    <row r="12" spans="1:12" x14ac:dyDescent="0.25">
      <c r="A12" s="222">
        <v>6</v>
      </c>
      <c r="B12" s="224" t="s">
        <v>243</v>
      </c>
      <c r="C12" s="219">
        <v>81</v>
      </c>
      <c r="D12" s="160">
        <v>99</v>
      </c>
      <c r="E12" s="160">
        <f t="shared" si="1"/>
        <v>90</v>
      </c>
      <c r="F12" s="212">
        <f t="shared" si="0"/>
        <v>110</v>
      </c>
      <c r="G12" s="215">
        <f>'Анализ 2022'!I12</f>
        <v>130.26610787172012</v>
      </c>
      <c r="H12" s="216">
        <f>'Анализ 2022'!J12</f>
        <v>159.21010787172014</v>
      </c>
      <c r="I12" s="215">
        <f>'Анализ 2022'!O12</f>
        <v>127.69480000000003</v>
      </c>
      <c r="J12" s="216">
        <f>'Анализ 2022'!P12</f>
        <v>156.64600000000002</v>
      </c>
      <c r="K12" s="215" t="e">
        <f>'Анализ 2022'!U12</f>
        <v>#REF!</v>
      </c>
      <c r="L12" s="216" t="e">
        <f>'Анализ 2022'!V12</f>
        <v>#REF!</v>
      </c>
    </row>
    <row r="13" spans="1:12" x14ac:dyDescent="0.25">
      <c r="A13" s="222">
        <v>7</v>
      </c>
      <c r="B13" s="224" t="s">
        <v>244</v>
      </c>
      <c r="C13" s="219">
        <v>77</v>
      </c>
      <c r="D13" s="160">
        <v>94</v>
      </c>
      <c r="E13" s="160">
        <f t="shared" si="1"/>
        <v>86</v>
      </c>
      <c r="F13" s="212">
        <f t="shared" si="0"/>
        <v>104</v>
      </c>
      <c r="G13" s="215">
        <f>'Анализ 2022'!I13</f>
        <v>123.15822302233627</v>
      </c>
      <c r="H13" s="216">
        <f>'Анализ 2022'!J13</f>
        <v>148.89277124633625</v>
      </c>
      <c r="I13" s="215">
        <f>'Анализ 2022'!O13</f>
        <v>119.77760000000004</v>
      </c>
      <c r="J13" s="216">
        <f>'Анализ 2022'!P13</f>
        <v>145.51200000000003</v>
      </c>
      <c r="K13" s="215" t="e">
        <f>'Анализ 2022'!U13</f>
        <v>#REF!</v>
      </c>
      <c r="L13" s="216" t="e">
        <f>'Анализ 2022'!V13</f>
        <v>#REF!</v>
      </c>
    </row>
    <row r="14" spans="1:12" x14ac:dyDescent="0.25">
      <c r="A14" s="222">
        <v>8</v>
      </c>
      <c r="B14" s="224" t="s">
        <v>245</v>
      </c>
      <c r="C14" s="219">
        <v>77</v>
      </c>
      <c r="D14" s="160">
        <v>94</v>
      </c>
      <c r="E14" s="160">
        <f t="shared" si="1"/>
        <v>86</v>
      </c>
      <c r="F14" s="212">
        <f t="shared" si="0"/>
        <v>104</v>
      </c>
      <c r="G14" s="215">
        <f>'Анализ 2022'!I14</f>
        <v>123.15822302233627</v>
      </c>
      <c r="H14" s="216">
        <f>'Анализ 2022'!J14</f>
        <v>148.89277124633625</v>
      </c>
      <c r="I14" s="215">
        <f>'Анализ 2022'!O14</f>
        <v>119.77760000000004</v>
      </c>
      <c r="J14" s="216">
        <f>'Анализ 2022'!P14</f>
        <v>145.51200000000003</v>
      </c>
      <c r="K14" s="215" t="e">
        <f>'Анализ 2022'!U14</f>
        <v>#REF!</v>
      </c>
      <c r="L14" s="216" t="e">
        <f>'Анализ 2022'!V14</f>
        <v>#REF!</v>
      </c>
    </row>
    <row r="15" spans="1:12" x14ac:dyDescent="0.25">
      <c r="A15" s="222">
        <v>9</v>
      </c>
      <c r="B15" s="224" t="s">
        <v>246</v>
      </c>
      <c r="C15" s="219">
        <v>73</v>
      </c>
      <c r="D15" s="160">
        <v>90</v>
      </c>
      <c r="E15" s="160">
        <f t="shared" si="1"/>
        <v>81</v>
      </c>
      <c r="F15" s="212">
        <f t="shared" si="0"/>
        <v>100</v>
      </c>
      <c r="G15" s="215">
        <f>'Анализ 2022'!I15</f>
        <v>117.42822302233627</v>
      </c>
      <c r="H15" s="216">
        <f>'Анализ 2022'!J15</f>
        <v>143.16277124633626</v>
      </c>
      <c r="I15" s="215">
        <f>'Анализ 2022'!O15</f>
        <v>114.82760000000003</v>
      </c>
      <c r="J15" s="216">
        <f>'Анализ 2022'!P15</f>
        <v>140.56200000000001</v>
      </c>
      <c r="K15" s="215" t="e">
        <f>'Анализ 2022'!U15</f>
        <v>#REF!</v>
      </c>
      <c r="L15" s="216" t="e">
        <f>'Анализ 2022'!V15</f>
        <v>#REF!</v>
      </c>
    </row>
    <row r="16" spans="1:12" ht="14.45" customHeight="1" x14ac:dyDescent="0.25">
      <c r="A16" s="222">
        <v>10</v>
      </c>
      <c r="B16" s="225" t="s">
        <v>83</v>
      </c>
      <c r="C16" s="220">
        <v>90</v>
      </c>
      <c r="D16" s="162">
        <v>109</v>
      </c>
      <c r="E16" s="162">
        <f t="shared" si="1"/>
        <v>100</v>
      </c>
      <c r="F16" s="213">
        <f t="shared" si="0"/>
        <v>121</v>
      </c>
      <c r="G16" s="215">
        <f>'Анализ 2022'!I16</f>
        <v>143.13003012633627</v>
      </c>
      <c r="H16" s="216">
        <f>'Анализ 2022'!J16</f>
        <v>175.29003012633626</v>
      </c>
      <c r="I16" s="215">
        <f>'Анализ 2022'!O16</f>
        <v>140.56200000000001</v>
      </c>
      <c r="J16" s="216">
        <f>'Анализ 2022'!P16</f>
        <v>172.73000000000002</v>
      </c>
      <c r="K16" s="215" t="e">
        <f>'Анализ 2022'!U16</f>
        <v>#REF!</v>
      </c>
      <c r="L16" s="216" t="e">
        <f>'Анализ 2022'!V16</f>
        <v>#REF!</v>
      </c>
    </row>
    <row r="17" spans="1:12" x14ac:dyDescent="0.25">
      <c r="A17" s="222">
        <v>11</v>
      </c>
      <c r="B17" s="224" t="s">
        <v>247</v>
      </c>
      <c r="C17" s="219">
        <v>81</v>
      </c>
      <c r="D17" s="160">
        <v>99</v>
      </c>
      <c r="E17" s="160">
        <f t="shared" si="1"/>
        <v>90</v>
      </c>
      <c r="F17" s="212">
        <f t="shared" si="0"/>
        <v>110</v>
      </c>
      <c r="G17" s="215">
        <f>'Анализ 2022'!I17</f>
        <v>130.26610787172012</v>
      </c>
      <c r="H17" s="216">
        <f>'Анализ 2022'!J17</f>
        <v>159.21010787172014</v>
      </c>
      <c r="I17" s="215">
        <f>'Анализ 2022'!O17</f>
        <v>127.69480000000003</v>
      </c>
      <c r="J17" s="216">
        <f>'Анализ 2022'!P17</f>
        <v>156.64600000000002</v>
      </c>
      <c r="K17" s="215" t="e">
        <f>'Анализ 2022'!U17</f>
        <v>#REF!</v>
      </c>
      <c r="L17" s="216" t="e">
        <f>'Анализ 2022'!V17</f>
        <v>#REF!</v>
      </c>
    </row>
    <row r="18" spans="1:12" x14ac:dyDescent="0.25">
      <c r="A18" s="222">
        <v>12</v>
      </c>
      <c r="B18" s="224" t="s">
        <v>248</v>
      </c>
      <c r="C18" s="221">
        <v>86</v>
      </c>
      <c r="D18" s="163">
        <v>104</v>
      </c>
      <c r="E18" s="163">
        <f t="shared" si="1"/>
        <v>96</v>
      </c>
      <c r="F18" s="214">
        <f t="shared" si="0"/>
        <v>116</v>
      </c>
      <c r="G18" s="215">
        <f>'Анализ 2022'!I18</f>
        <v>130.26603012633626</v>
      </c>
      <c r="H18" s="216">
        <f>'Анализ 2022'!J18</f>
        <v>159.21003012633625</v>
      </c>
      <c r="I18" s="215">
        <f>'Анализ 2022'!O18</f>
        <v>127.69480000000003</v>
      </c>
      <c r="J18" s="216">
        <f>'Анализ 2022'!P18</f>
        <v>156.64600000000002</v>
      </c>
      <c r="K18" s="215" t="e">
        <f>'Анализ 2022'!U18</f>
        <v>#REF!</v>
      </c>
      <c r="L18" s="216" t="e">
        <f>'Анализ 2022'!V18</f>
        <v>#REF!</v>
      </c>
    </row>
    <row r="19" spans="1:12" x14ac:dyDescent="0.25">
      <c r="A19" s="222">
        <v>13</v>
      </c>
      <c r="B19" s="224" t="s">
        <v>249</v>
      </c>
      <c r="C19" s="219">
        <v>73</v>
      </c>
      <c r="D19" s="160">
        <v>90</v>
      </c>
      <c r="E19" s="160">
        <f t="shared" si="1"/>
        <v>81</v>
      </c>
      <c r="F19" s="212">
        <f t="shared" si="0"/>
        <v>100</v>
      </c>
      <c r="G19" s="215">
        <f>'Анализ 2022'!I19</f>
        <v>117.42822302233627</v>
      </c>
      <c r="H19" s="216">
        <f>'Анализ 2022'!J19</f>
        <v>143.16277124633626</v>
      </c>
      <c r="I19" s="215">
        <f>'Анализ 2022'!O19</f>
        <v>114.82760000000003</v>
      </c>
      <c r="J19" s="216">
        <f>'Анализ 2022'!P19</f>
        <v>140.56200000000001</v>
      </c>
      <c r="K19" s="215" t="e">
        <f>'Анализ 2022'!U19</f>
        <v>#REF!</v>
      </c>
      <c r="L19" s="216" t="e">
        <f>'Анализ 2022'!V19</f>
        <v>#REF!</v>
      </c>
    </row>
    <row r="20" spans="1:12" x14ac:dyDescent="0.25">
      <c r="A20" s="222">
        <v>14</v>
      </c>
      <c r="B20" s="224" t="s">
        <v>250</v>
      </c>
      <c r="C20" s="219">
        <v>73</v>
      </c>
      <c r="D20" s="160">
        <v>90</v>
      </c>
      <c r="E20" s="160">
        <f t="shared" si="1"/>
        <v>81</v>
      </c>
      <c r="F20" s="212">
        <f t="shared" si="0"/>
        <v>100</v>
      </c>
      <c r="G20" s="215">
        <f>'Анализ 2022'!I20</f>
        <v>117.42822302233627</v>
      </c>
      <c r="H20" s="216">
        <f>'Анализ 2022'!J20</f>
        <v>143.16277124633626</v>
      </c>
      <c r="I20" s="215">
        <f>'Анализ 2022'!O20</f>
        <v>114.82760000000003</v>
      </c>
      <c r="J20" s="216">
        <f>'Анализ 2022'!P20</f>
        <v>140.56200000000001</v>
      </c>
      <c r="K20" s="215" t="e">
        <f>'Анализ 2022'!U20</f>
        <v>#REF!</v>
      </c>
      <c r="L20" s="216" t="e">
        <f>'Анализ 2022'!V20</f>
        <v>#REF!</v>
      </c>
    </row>
    <row r="21" spans="1:12" x14ac:dyDescent="0.25">
      <c r="A21" s="222">
        <v>15</v>
      </c>
      <c r="B21" s="224" t="s">
        <v>251</v>
      </c>
      <c r="C21" s="219">
        <v>73</v>
      </c>
      <c r="D21" s="160">
        <v>90</v>
      </c>
      <c r="E21" s="160">
        <f t="shared" si="1"/>
        <v>81</v>
      </c>
      <c r="F21" s="212">
        <f t="shared" si="0"/>
        <v>100</v>
      </c>
      <c r="G21" s="215">
        <f>'Анализ 2022'!I21</f>
        <v>117.42822302233627</v>
      </c>
      <c r="H21" s="216">
        <f>'Анализ 2022'!J21</f>
        <v>143.16277124633626</v>
      </c>
      <c r="I21" s="215">
        <f>'Анализ 2022'!O21</f>
        <v>114.82760000000003</v>
      </c>
      <c r="J21" s="216">
        <f>'Анализ 2022'!P21</f>
        <v>140.56200000000001</v>
      </c>
      <c r="K21" s="215" t="e">
        <f>'Анализ 2022'!U21</f>
        <v>#REF!</v>
      </c>
      <c r="L21" s="216" t="e">
        <f>'Анализ 2022'!V21</f>
        <v>#REF!</v>
      </c>
    </row>
    <row r="22" spans="1:12" x14ac:dyDescent="0.25">
      <c r="A22" s="222">
        <v>16</v>
      </c>
      <c r="B22" s="224" t="s">
        <v>252</v>
      </c>
      <c r="C22" s="219">
        <v>77</v>
      </c>
      <c r="D22" s="160">
        <v>94</v>
      </c>
      <c r="E22" s="160">
        <f t="shared" si="1"/>
        <v>86</v>
      </c>
      <c r="F22" s="212">
        <f t="shared" si="0"/>
        <v>104</v>
      </c>
      <c r="G22" s="215">
        <f>'Анализ 2022'!I22</f>
        <v>123.15822302233627</v>
      </c>
      <c r="H22" s="216">
        <f>'Анализ 2022'!J22</f>
        <v>143.16277124633626</v>
      </c>
      <c r="I22" s="215">
        <f>'Анализ 2022'!O22</f>
        <v>119.77760000000004</v>
      </c>
      <c r="J22" s="216">
        <f>'Анализ 2022'!P22</f>
        <v>145.51200000000003</v>
      </c>
      <c r="K22" s="215" t="e">
        <f>'Анализ 2022'!U22</f>
        <v>#REF!</v>
      </c>
      <c r="L22" s="216" t="e">
        <f>'Анализ 2022'!V22</f>
        <v>#REF!</v>
      </c>
    </row>
    <row r="23" spans="1:12" x14ac:dyDescent="0.25">
      <c r="A23" s="222">
        <v>17</v>
      </c>
      <c r="B23" s="224" t="s">
        <v>253</v>
      </c>
      <c r="C23" s="219">
        <v>77</v>
      </c>
      <c r="D23" s="160">
        <v>94</v>
      </c>
      <c r="E23" s="160">
        <f t="shared" si="1"/>
        <v>86</v>
      </c>
      <c r="F23" s="212">
        <f t="shared" si="0"/>
        <v>104</v>
      </c>
      <c r="G23" s="215">
        <f>'Анализ 2022'!I23</f>
        <v>123.15822302233627</v>
      </c>
      <c r="H23" s="216">
        <f>'Анализ 2022'!J23</f>
        <v>148.89277124633625</v>
      </c>
      <c r="I23" s="215">
        <f>'Анализ 2022'!O23</f>
        <v>119.77760000000004</v>
      </c>
      <c r="J23" s="216">
        <f>'Анализ 2022'!P23</f>
        <v>145.51200000000003</v>
      </c>
      <c r="K23" s="215" t="e">
        <f>'Анализ 2022'!U23</f>
        <v>#REF!</v>
      </c>
      <c r="L23" s="216" t="e">
        <f>'Анализ 2022'!V23</f>
        <v>#REF!</v>
      </c>
    </row>
    <row r="24" spans="1:12" x14ac:dyDescent="0.25">
      <c r="A24" s="222">
        <v>18</v>
      </c>
      <c r="B24" s="224" t="s">
        <v>258</v>
      </c>
      <c r="C24" s="219">
        <v>77</v>
      </c>
      <c r="D24" s="160">
        <v>94</v>
      </c>
      <c r="E24" s="160">
        <f t="shared" si="1"/>
        <v>86</v>
      </c>
      <c r="F24" s="212">
        <f t="shared" si="0"/>
        <v>104</v>
      </c>
      <c r="G24" s="215">
        <f>'Анализ 2022'!I24</f>
        <v>123.15822302233627</v>
      </c>
      <c r="H24" s="216">
        <f>'Анализ 2022'!J24</f>
        <v>148.89277124633625</v>
      </c>
      <c r="I24" s="215">
        <f>'Анализ 2022'!O24</f>
        <v>119.77760000000004</v>
      </c>
      <c r="J24" s="216">
        <f>'Анализ 2022'!P24</f>
        <v>145.51200000000003</v>
      </c>
      <c r="K24" s="215" t="e">
        <f>'Анализ 2022'!U24</f>
        <v>#REF!</v>
      </c>
      <c r="L24" s="216" t="e">
        <f>'Анализ 2022'!V24</f>
        <v>#REF!</v>
      </c>
    </row>
    <row r="25" spans="1:12" x14ac:dyDescent="0.25">
      <c r="A25" s="222">
        <v>19</v>
      </c>
      <c r="B25" s="224" t="s">
        <v>254</v>
      </c>
      <c r="C25" s="219">
        <v>73</v>
      </c>
      <c r="D25" s="160">
        <v>90</v>
      </c>
      <c r="E25" s="160">
        <f t="shared" si="1"/>
        <v>81</v>
      </c>
      <c r="F25" s="212">
        <f t="shared" si="0"/>
        <v>100</v>
      </c>
      <c r="G25" s="215">
        <f>'Анализ 2022'!I25</f>
        <v>117.42822302233627</v>
      </c>
      <c r="H25" s="216">
        <f>'Анализ 2022'!J25</f>
        <v>143.16277124633626</v>
      </c>
      <c r="I25" s="215">
        <f>'Анализ 2022'!O25</f>
        <v>114.82760000000003</v>
      </c>
      <c r="J25" s="216">
        <f>'Анализ 2022'!P25</f>
        <v>140.56200000000001</v>
      </c>
      <c r="K25" s="215" t="e">
        <f>'Анализ 2022'!U25</f>
        <v>#REF!</v>
      </c>
      <c r="L25" s="216" t="e">
        <f>'Анализ 2022'!V25</f>
        <v>#REF!</v>
      </c>
    </row>
    <row r="26" spans="1:12" x14ac:dyDescent="0.25">
      <c r="A26" s="222">
        <v>20</v>
      </c>
      <c r="B26" s="224" t="s">
        <v>255</v>
      </c>
      <c r="C26" s="219">
        <v>73</v>
      </c>
      <c r="D26" s="160">
        <v>90</v>
      </c>
      <c r="E26" s="160">
        <f t="shared" si="1"/>
        <v>81</v>
      </c>
      <c r="F26" s="212">
        <f t="shared" si="0"/>
        <v>100</v>
      </c>
      <c r="G26" s="215">
        <f>'Анализ 2022'!I26</f>
        <v>117.42822302233627</v>
      </c>
      <c r="H26" s="216">
        <f>'Анализ 2022'!J26</f>
        <v>143.16277124633626</v>
      </c>
      <c r="I26" s="215">
        <f>'Анализ 2022'!O26</f>
        <v>114.82760000000003</v>
      </c>
      <c r="J26" s="216">
        <f>'Анализ 2022'!P26</f>
        <v>140.56200000000001</v>
      </c>
      <c r="K26" s="215" t="e">
        <f>'Анализ 2022'!U26</f>
        <v>#REF!</v>
      </c>
      <c r="L26" s="216" t="e">
        <f>'Анализ 2022'!V26</f>
        <v>#REF!</v>
      </c>
    </row>
    <row r="27" spans="1:12" x14ac:dyDescent="0.25">
      <c r="A27" s="222">
        <v>21</v>
      </c>
      <c r="B27" s="226" t="s">
        <v>75</v>
      </c>
      <c r="C27" s="219">
        <v>73</v>
      </c>
      <c r="D27" s="160">
        <v>90</v>
      </c>
      <c r="E27" s="160">
        <f t="shared" si="1"/>
        <v>81</v>
      </c>
      <c r="F27" s="212">
        <f t="shared" si="0"/>
        <v>100</v>
      </c>
      <c r="G27" s="215">
        <f>'Анализ 2022'!I27</f>
        <v>117.42822302233627</v>
      </c>
      <c r="H27" s="216">
        <f>'Анализ 2022'!J27</f>
        <v>143.16277124633626</v>
      </c>
      <c r="I27" s="215">
        <f>'Анализ 2022'!O27</f>
        <v>114.82760000000003</v>
      </c>
      <c r="J27" s="216">
        <f>'Анализ 2022'!P27</f>
        <v>140.56200000000001</v>
      </c>
      <c r="K27" s="215" t="e">
        <f>'Анализ 2022'!U27</f>
        <v>#REF!</v>
      </c>
      <c r="L27" s="216" t="e">
        <f>'Анализ 2022'!V27</f>
        <v>#REF!</v>
      </c>
    </row>
    <row r="28" spans="1:12" x14ac:dyDescent="0.25">
      <c r="A28" s="222">
        <v>22</v>
      </c>
      <c r="B28" s="226" t="s">
        <v>76</v>
      </c>
      <c r="C28" s="219">
        <v>73</v>
      </c>
      <c r="D28" s="160">
        <v>90</v>
      </c>
      <c r="E28" s="160">
        <f t="shared" si="1"/>
        <v>81</v>
      </c>
      <c r="F28" s="212">
        <f t="shared" si="0"/>
        <v>100</v>
      </c>
      <c r="G28" s="215">
        <f>'Анализ 2022'!I28</f>
        <v>117.42822302233627</v>
      </c>
      <c r="H28" s="216">
        <f>'Анализ 2022'!J28</f>
        <v>143.16277124633626</v>
      </c>
      <c r="I28" s="215">
        <f>'Анализ 2022'!O28</f>
        <v>114.82760000000003</v>
      </c>
      <c r="J28" s="216">
        <f>'Анализ 2022'!P28</f>
        <v>140.56200000000001</v>
      </c>
      <c r="K28" s="215" t="e">
        <f>'Анализ 2022'!U28</f>
        <v>#REF!</v>
      </c>
      <c r="L28" s="216" t="e">
        <f>'Анализ 2022'!V28</f>
        <v>#REF!</v>
      </c>
    </row>
    <row r="29" spans="1:12" x14ac:dyDescent="0.25">
      <c r="A29" s="222">
        <v>23</v>
      </c>
      <c r="B29" s="226" t="s">
        <v>77</v>
      </c>
      <c r="C29" s="219">
        <v>73</v>
      </c>
      <c r="D29" s="160">
        <v>90</v>
      </c>
      <c r="E29" s="160">
        <f t="shared" si="1"/>
        <v>81</v>
      </c>
      <c r="F29" s="212">
        <f t="shared" si="0"/>
        <v>100</v>
      </c>
      <c r="G29" s="215">
        <f>'Анализ 2022'!I29</f>
        <v>117.42822302233627</v>
      </c>
      <c r="H29" s="216">
        <f>'Анализ 2022'!J29</f>
        <v>143.16277124633626</v>
      </c>
      <c r="I29" s="215">
        <f>'Анализ 2022'!O29</f>
        <v>114.82760000000003</v>
      </c>
      <c r="J29" s="216">
        <f>'Анализ 2022'!P29</f>
        <v>140.56200000000001</v>
      </c>
      <c r="K29" s="215" t="e">
        <f>'Анализ 2022'!U29</f>
        <v>#REF!</v>
      </c>
      <c r="L29" s="216" t="e">
        <f>'Анализ 2022'!V29</f>
        <v>#REF!</v>
      </c>
    </row>
    <row r="30" spans="1:12" x14ac:dyDescent="0.25">
      <c r="A30" s="222">
        <v>24</v>
      </c>
      <c r="B30" s="226" t="s">
        <v>78</v>
      </c>
      <c r="C30" s="219">
        <v>73</v>
      </c>
      <c r="D30" s="160">
        <v>90</v>
      </c>
      <c r="E30" s="160">
        <f t="shared" si="1"/>
        <v>81</v>
      </c>
      <c r="F30" s="212">
        <f t="shared" si="0"/>
        <v>100</v>
      </c>
      <c r="G30" s="215">
        <f>'Анализ 2022'!I30</f>
        <v>117.42822302233627</v>
      </c>
      <c r="H30" s="216">
        <f>'Анализ 2022'!J30</f>
        <v>143.16277124633626</v>
      </c>
      <c r="I30" s="215">
        <f>'Анализ 2022'!O30</f>
        <v>114.82760000000003</v>
      </c>
      <c r="J30" s="216">
        <f>'Анализ 2022'!P30</f>
        <v>140.56200000000001</v>
      </c>
      <c r="K30" s="215" t="e">
        <f>'Анализ 2022'!U30</f>
        <v>#REF!</v>
      </c>
      <c r="L30" s="216" t="e">
        <f>'Анализ 2022'!V30</f>
        <v>#REF!</v>
      </c>
    </row>
    <row r="31" spans="1:12" ht="15.75" thickBot="1" x14ac:dyDescent="0.3">
      <c r="A31" s="227">
        <v>25</v>
      </c>
      <c r="B31" s="228" t="s">
        <v>79</v>
      </c>
      <c r="C31" s="219">
        <v>73</v>
      </c>
      <c r="D31" s="160">
        <v>90</v>
      </c>
      <c r="E31" s="160">
        <f t="shared" si="1"/>
        <v>81</v>
      </c>
      <c r="F31" s="212">
        <f t="shared" si="0"/>
        <v>100</v>
      </c>
      <c r="G31" s="217">
        <f>'Анализ 2022'!I31</f>
        <v>117.42822302233627</v>
      </c>
      <c r="H31" s="218">
        <f>'Анализ 2022'!J31</f>
        <v>143.16277124633626</v>
      </c>
      <c r="I31" s="217">
        <f>'Анализ 2022'!O31</f>
        <v>114.82760000000003</v>
      </c>
      <c r="J31" s="218">
        <f>'Анализ 2022'!P31</f>
        <v>140.56200000000001</v>
      </c>
      <c r="K31" s="217" t="e">
        <f>'Анализ 2022'!U31</f>
        <v>#REF!</v>
      </c>
      <c r="L31" s="218" t="e">
        <f>'Анализ 2022'!V31</f>
        <v>#REF!</v>
      </c>
    </row>
    <row r="32" spans="1:12" ht="17.25" customHeight="1" thickBot="1" x14ac:dyDescent="0.3">
      <c r="A32" s="231" t="s">
        <v>230</v>
      </c>
      <c r="B32" s="207"/>
      <c r="C32" s="187"/>
      <c r="D32" s="187"/>
      <c r="E32" s="187"/>
      <c r="F32" s="187"/>
      <c r="G32" s="211"/>
      <c r="H32" s="211"/>
      <c r="I32" s="211"/>
      <c r="J32" s="211"/>
      <c r="K32" s="211"/>
      <c r="L32" s="211"/>
    </row>
    <row r="33" spans="1:12" ht="29.25" customHeight="1" x14ac:dyDescent="0.25">
      <c r="A33" s="232">
        <v>1</v>
      </c>
      <c r="B33" s="233" t="s">
        <v>214</v>
      </c>
      <c r="C33" s="230"/>
      <c r="D33" s="165"/>
      <c r="E33" s="165"/>
      <c r="F33" s="229"/>
      <c r="G33" s="239">
        <f>'Анализ 2022'!I34</f>
        <v>39.972675494914157</v>
      </c>
      <c r="H33" s="240">
        <f>'Анализ 2022'!J34</f>
        <v>47.692995494914157</v>
      </c>
      <c r="I33" s="239">
        <f>'Анализ 2022'!O34</f>
        <v>27.9572</v>
      </c>
      <c r="J33" s="240">
        <f>'Анализ 2022'!P34</f>
        <v>33.793999999999997</v>
      </c>
      <c r="K33" s="239">
        <f>'Анализ 2022'!U34</f>
        <v>37.997177071781238</v>
      </c>
      <c r="L33" s="240">
        <f>'Анализ 2022'!V34</f>
        <v>45.934881336634675</v>
      </c>
    </row>
    <row r="34" spans="1:12" ht="30" x14ac:dyDescent="0.25">
      <c r="A34" s="234">
        <v>2</v>
      </c>
      <c r="B34" s="235" t="s">
        <v>231</v>
      </c>
      <c r="C34" s="230"/>
      <c r="D34" s="165"/>
      <c r="E34" s="165"/>
      <c r="F34" s="229"/>
      <c r="G34" s="215">
        <f>'Анализ 2022'!I35</f>
        <v>15.524995494914158</v>
      </c>
      <c r="H34" s="216">
        <f>'Анализ 2022'!J35</f>
        <v>17.133395494914158</v>
      </c>
      <c r="I34" s="215">
        <f>'Анализ 2022'!O35</f>
        <v>9.4740000000000002</v>
      </c>
      <c r="J34" s="216">
        <f>'Анализ 2022'!P35</f>
        <v>10.690000000000001</v>
      </c>
      <c r="K34" s="215">
        <f>'Анализ 2022'!U35</f>
        <v>12.861113566412065</v>
      </c>
      <c r="L34" s="216">
        <f>'Анализ 2022'!V35</f>
        <v>14.514801954923195</v>
      </c>
    </row>
    <row r="35" spans="1:12" ht="30" x14ac:dyDescent="0.25">
      <c r="A35" s="234">
        <v>3</v>
      </c>
      <c r="B35" s="235" t="s">
        <v>232</v>
      </c>
      <c r="C35" s="230"/>
      <c r="D35" s="165"/>
      <c r="E35" s="165"/>
      <c r="F35" s="229"/>
      <c r="G35" s="215">
        <f>'Анализ 2022'!I36</f>
        <v>54.126595494914156</v>
      </c>
      <c r="H35" s="216">
        <f>'Анализ 2022'!J36</f>
        <v>65.38539549491415</v>
      </c>
      <c r="I35" s="215">
        <f>'Анализ 2022'!O36</f>
        <v>38.658000000000001</v>
      </c>
      <c r="J35" s="216">
        <f>'Анализ 2022'!P36</f>
        <v>47.17</v>
      </c>
      <c r="K35" s="215">
        <f>'Анализ 2022'!U36</f>
        <v>52.549634890679187</v>
      </c>
      <c r="L35" s="216">
        <f>'Анализ 2022'!V36</f>
        <v>64.125453610257097</v>
      </c>
    </row>
    <row r="36" spans="1:12" ht="30" x14ac:dyDescent="0.25">
      <c r="A36" s="234">
        <v>4</v>
      </c>
      <c r="B36" s="235" t="s">
        <v>233</v>
      </c>
      <c r="C36" s="230"/>
      <c r="D36" s="165"/>
      <c r="E36" s="165"/>
      <c r="F36" s="229"/>
      <c r="G36" s="215">
        <f>'Анализ 2022'!I37</f>
        <v>24.532035494914158</v>
      </c>
      <c r="H36" s="216">
        <f>'Анализ 2022'!J37</f>
        <v>28.392195494914159</v>
      </c>
      <c r="I36" s="215">
        <f>'Анализ 2022'!O37</f>
        <v>16.2836</v>
      </c>
      <c r="J36" s="216">
        <f>'Анализ 2022'!P37</f>
        <v>19.201999999999998</v>
      </c>
      <c r="K36" s="215">
        <f>'Анализ 2022'!U37</f>
        <v>22.121768542074392</v>
      </c>
      <c r="L36" s="216">
        <f>'Анализ 2022'!V37</f>
        <v>26.090620674501107</v>
      </c>
    </row>
    <row r="37" spans="1:12" ht="30" x14ac:dyDescent="0.25">
      <c r="A37" s="234">
        <v>5</v>
      </c>
      <c r="B37" s="235" t="s">
        <v>234</v>
      </c>
      <c r="C37" s="230"/>
      <c r="D37" s="165"/>
      <c r="E37" s="165"/>
      <c r="F37" s="229"/>
      <c r="G37" s="215">
        <f>'Анализ 2022'!I38</f>
        <v>43.832835494914164</v>
      </c>
      <c r="H37" s="216">
        <f>'Анализ 2022'!J38</f>
        <v>52.518195494914153</v>
      </c>
      <c r="I37" s="215">
        <f>'Анализ 2022'!O38</f>
        <v>30.875600000000002</v>
      </c>
      <c r="J37" s="216">
        <f>'Анализ 2022'!P38</f>
        <v>37.442</v>
      </c>
      <c r="K37" s="215">
        <f>'Анализ 2022'!U38</f>
        <v>41.966029204207956</v>
      </c>
      <c r="L37" s="216">
        <f>'Анализ 2022'!V38</f>
        <v>50.895946502168059</v>
      </c>
    </row>
    <row r="38" spans="1:12" ht="30" x14ac:dyDescent="0.25">
      <c r="A38" s="234">
        <v>6</v>
      </c>
      <c r="B38" s="236" t="s">
        <v>235</v>
      </c>
      <c r="C38" s="230"/>
      <c r="D38" s="165"/>
      <c r="E38" s="165"/>
      <c r="F38" s="229"/>
      <c r="G38" s="215">
        <f>'Анализ 2022'!I39</f>
        <v>16.32919549491416</v>
      </c>
      <c r="H38" s="216">
        <f>'Анализ 2022'!J39</f>
        <v>18.138645494914158</v>
      </c>
      <c r="I38" s="215">
        <f>'Анализ 2022'!O39</f>
        <v>10.082000000000001</v>
      </c>
      <c r="J38" s="216">
        <f>'Анализ 2022'!P39</f>
        <v>11.450000000000001</v>
      </c>
      <c r="K38" s="215">
        <f>'Анализ 2022'!U39</f>
        <v>13.687957760667629</v>
      </c>
      <c r="L38" s="216">
        <f>'Анализ 2022'!V39</f>
        <v>15.54835719774265</v>
      </c>
    </row>
    <row r="39" spans="1:12" ht="30" x14ac:dyDescent="0.25">
      <c r="A39" s="234">
        <v>7</v>
      </c>
      <c r="B39" s="236" t="s">
        <v>236</v>
      </c>
      <c r="C39" s="230"/>
      <c r="D39" s="165"/>
      <c r="E39" s="165"/>
      <c r="F39" s="229"/>
      <c r="G39" s="215">
        <f>'Анализ 2022'!I40</f>
        <v>59.75599549491416</v>
      </c>
      <c r="H39" s="216">
        <f>'Анализ 2022'!J40</f>
        <v>72.422145494914147</v>
      </c>
      <c r="I39" s="215">
        <f>'Анализ 2022'!O40</f>
        <v>42.914000000000001</v>
      </c>
      <c r="J39" s="216">
        <f>'Анализ 2022'!P40</f>
        <v>52.489999999999995</v>
      </c>
      <c r="K39" s="215">
        <f>'Анализ 2022'!U40</f>
        <v>58.337544250468142</v>
      </c>
      <c r="L39" s="216">
        <f>'Анализ 2022'!V40</f>
        <v>71.36034030999329</v>
      </c>
    </row>
    <row r="40" spans="1:12" ht="30.75" thickBot="1" x14ac:dyDescent="0.3">
      <c r="A40" s="237">
        <v>8</v>
      </c>
      <c r="B40" s="238" t="s">
        <v>237</v>
      </c>
      <c r="C40" s="230"/>
      <c r="D40" s="165"/>
      <c r="E40" s="165"/>
      <c r="F40" s="229"/>
      <c r="G40" s="217">
        <f>'Анализ 2022'!I41</f>
        <v>26.462115494914158</v>
      </c>
      <c r="H40" s="218">
        <f>'Анализ 2022'!J41</f>
        <v>30.804795494914156</v>
      </c>
      <c r="I40" s="217">
        <f>'Анализ 2022'!O41</f>
        <v>17.742800000000003</v>
      </c>
      <c r="J40" s="218">
        <f>'Анализ 2022'!P41</f>
        <v>21.026</v>
      </c>
      <c r="K40" s="217">
        <f>'Анализ 2022'!U41</f>
        <v>24.106194608287748</v>
      </c>
      <c r="L40" s="218">
        <f>'Анализ 2022'!V41</f>
        <v>28.571153257267799</v>
      </c>
    </row>
  </sheetData>
  <mergeCells count="17">
    <mergeCell ref="I4:J4"/>
    <mergeCell ref="I5:I6"/>
    <mergeCell ref="J5:J6"/>
    <mergeCell ref="A4:A6"/>
    <mergeCell ref="K4:L4"/>
    <mergeCell ref="K5:K6"/>
    <mergeCell ref="L5:L6"/>
    <mergeCell ref="B4:B6"/>
    <mergeCell ref="E4:F4"/>
    <mergeCell ref="E5:E6"/>
    <mergeCell ref="F5:F6"/>
    <mergeCell ref="C5:C6"/>
    <mergeCell ref="D5:D6"/>
    <mergeCell ref="C4:D4"/>
    <mergeCell ref="G4:H4"/>
    <mergeCell ref="G5:G6"/>
    <mergeCell ref="H5:H6"/>
  </mergeCells>
  <conditionalFormatting sqref="B7:B8">
    <cfRule type="cellIs" dxfId="15" priority="8" stopIfTrue="1" operator="equal">
      <formula>"ИТОГО"</formula>
    </cfRule>
  </conditionalFormatting>
  <conditionalFormatting sqref="B9">
    <cfRule type="cellIs" dxfId="14" priority="7" stopIfTrue="1" operator="equal">
      <formula>"ИТОГО"</formula>
    </cfRule>
  </conditionalFormatting>
  <conditionalFormatting sqref="B10">
    <cfRule type="cellIs" dxfId="13" priority="6" stopIfTrue="1" operator="equal">
      <formula>"ИТОГО"</formula>
    </cfRule>
  </conditionalFormatting>
  <conditionalFormatting sqref="B11">
    <cfRule type="cellIs" dxfId="12" priority="5" stopIfTrue="1" operator="equal">
      <formula>"ИТОГО"</formula>
    </cfRule>
  </conditionalFormatting>
  <conditionalFormatting sqref="B12">
    <cfRule type="cellIs" dxfId="11" priority="4" stopIfTrue="1" operator="equal">
      <formula>"ИТОГО"</formula>
    </cfRule>
  </conditionalFormatting>
  <conditionalFormatting sqref="B13:B15">
    <cfRule type="cellIs" dxfId="10" priority="3" stopIfTrue="1" operator="equal">
      <formula>"ИТОГО"</formula>
    </cfRule>
  </conditionalFormatting>
  <conditionalFormatting sqref="B17:B19">
    <cfRule type="cellIs" dxfId="9" priority="2" stopIfTrue="1" operator="equal">
      <formula>"ИТОГО"</formula>
    </cfRule>
  </conditionalFormatting>
  <conditionalFormatting sqref="B20:B26">
    <cfRule type="cellIs" dxfId="8" priority="1" stopIfTrue="1" operator="equal">
      <formula>"ИТОГО"</formula>
    </cfRule>
  </conditionalFormatting>
  <pageMargins left="0.70866141732283472" right="0.70866141732283472" top="0.35433070866141736" bottom="0.35433070866141736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2"/>
  <sheetViews>
    <sheetView view="pageBreakPreview" topLeftCell="A2" zoomScale="55" zoomScaleNormal="100" zoomScaleSheetLayoutView="55" zoomScalePageLayoutView="40" workbookViewId="0">
      <selection activeCell="A2" sqref="A2:XFD4"/>
    </sheetView>
  </sheetViews>
  <sheetFormatPr defaultRowHeight="15" x14ac:dyDescent="0.25"/>
  <cols>
    <col min="2" max="2" width="43.7109375" customWidth="1"/>
    <col min="3" max="4" width="12.85546875" hidden="1" customWidth="1"/>
    <col min="5" max="5" width="14.42578125" hidden="1" customWidth="1"/>
    <col min="6" max="20" width="12.42578125" hidden="1" customWidth="1"/>
    <col min="21" max="21" width="12.42578125" customWidth="1"/>
    <col min="22" max="22" width="10.140625" customWidth="1"/>
    <col min="23" max="24" width="9.5703125" hidden="1" customWidth="1"/>
    <col min="25" max="25" width="10.7109375" hidden="1" customWidth="1"/>
    <col min="26" max="26" width="8.85546875" hidden="1" customWidth="1"/>
    <col min="27" max="32" width="11.5703125" hidden="1" customWidth="1"/>
    <col min="33" max="33" width="12.42578125" hidden="1" customWidth="1"/>
    <col min="34" max="34" width="10.140625" hidden="1" customWidth="1"/>
    <col min="35" max="36" width="9.5703125" hidden="1" customWidth="1"/>
    <col min="37" max="37" width="0" hidden="1" customWidth="1"/>
    <col min="38" max="38" width="8.85546875" hidden="1" customWidth="1"/>
  </cols>
  <sheetData>
    <row r="1" spans="1:39" ht="15" hidden="1" customHeight="1" x14ac:dyDescent="0.25">
      <c r="B1" t="s">
        <v>192</v>
      </c>
    </row>
    <row r="2" spans="1:39" ht="34.15" customHeight="1" x14ac:dyDescent="0.25">
      <c r="A2" s="415" t="s">
        <v>193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415"/>
      <c r="AE2" s="415"/>
      <c r="AF2" s="415"/>
      <c r="AG2" s="415"/>
      <c r="AH2" s="415"/>
      <c r="AI2" s="415"/>
      <c r="AJ2" s="415"/>
      <c r="AK2" s="415"/>
      <c r="AL2" s="415"/>
      <c r="AM2" s="415"/>
    </row>
    <row r="3" spans="1:39" ht="15" customHeight="1" x14ac:dyDescent="0.25">
      <c r="F3">
        <v>1.111</v>
      </c>
    </row>
    <row r="4" spans="1:39" ht="115.5" customHeight="1" x14ac:dyDescent="0.25">
      <c r="A4" s="396" t="s">
        <v>123</v>
      </c>
      <c r="B4" s="399" t="s">
        <v>259</v>
      </c>
      <c r="C4" s="393" t="s">
        <v>96</v>
      </c>
      <c r="D4" s="393"/>
      <c r="E4" s="393" t="s">
        <v>191</v>
      </c>
      <c r="F4" s="393"/>
      <c r="G4" s="409" t="s">
        <v>260</v>
      </c>
      <c r="H4" s="410"/>
      <c r="I4" s="409" t="s">
        <v>269</v>
      </c>
      <c r="J4" s="410"/>
      <c r="K4" s="409" t="s">
        <v>262</v>
      </c>
      <c r="L4" s="410"/>
      <c r="M4" s="409" t="s">
        <v>263</v>
      </c>
      <c r="N4" s="410"/>
      <c r="O4" s="409" t="s">
        <v>270</v>
      </c>
      <c r="P4" s="410"/>
      <c r="Q4" s="409" t="s">
        <v>262</v>
      </c>
      <c r="R4" s="410"/>
      <c r="S4" s="409" t="s">
        <v>263</v>
      </c>
      <c r="T4" s="410"/>
      <c r="U4" s="409" t="s">
        <v>267</v>
      </c>
      <c r="V4" s="410"/>
      <c r="W4" s="378" t="s">
        <v>262</v>
      </c>
      <c r="X4" s="380"/>
      <c r="Y4" s="378" t="s">
        <v>263</v>
      </c>
      <c r="Z4" s="380"/>
      <c r="AA4" s="409" t="s">
        <v>264</v>
      </c>
      <c r="AB4" s="410"/>
      <c r="AC4" s="378" t="s">
        <v>262</v>
      </c>
      <c r="AD4" s="380"/>
      <c r="AE4" s="378" t="s">
        <v>263</v>
      </c>
      <c r="AF4" s="380"/>
      <c r="AG4" s="409" t="s">
        <v>266</v>
      </c>
      <c r="AH4" s="410"/>
      <c r="AI4" s="378" t="s">
        <v>262</v>
      </c>
      <c r="AJ4" s="380"/>
      <c r="AK4" s="378" t="s">
        <v>263</v>
      </c>
      <c r="AL4" s="380"/>
    </row>
    <row r="5" spans="1:39" ht="15" customHeight="1" x14ac:dyDescent="0.25">
      <c r="A5" s="397"/>
      <c r="B5" s="399"/>
      <c r="C5" s="393" t="s">
        <v>80</v>
      </c>
      <c r="D5" s="393" t="s">
        <v>81</v>
      </c>
      <c r="E5" s="393" t="s">
        <v>80</v>
      </c>
      <c r="F5" s="393" t="s">
        <v>81</v>
      </c>
      <c r="G5" s="416" t="s">
        <v>80</v>
      </c>
      <c r="H5" s="416" t="s">
        <v>81</v>
      </c>
      <c r="I5" s="416" t="s">
        <v>80</v>
      </c>
      <c r="J5" s="416" t="s">
        <v>81</v>
      </c>
      <c r="K5" s="416" t="s">
        <v>80</v>
      </c>
      <c r="L5" s="416" t="s">
        <v>81</v>
      </c>
      <c r="M5" s="416" t="s">
        <v>80</v>
      </c>
      <c r="N5" s="416" t="s">
        <v>81</v>
      </c>
      <c r="O5" s="416" t="s">
        <v>80</v>
      </c>
      <c r="P5" s="416" t="s">
        <v>81</v>
      </c>
      <c r="Q5" s="416" t="s">
        <v>80</v>
      </c>
      <c r="R5" s="416" t="s">
        <v>81</v>
      </c>
      <c r="S5" s="416" t="s">
        <v>80</v>
      </c>
      <c r="T5" s="416" t="s">
        <v>81</v>
      </c>
      <c r="U5" s="416" t="s">
        <v>80</v>
      </c>
      <c r="V5" s="416" t="s">
        <v>81</v>
      </c>
      <c r="W5" s="416" t="s">
        <v>80</v>
      </c>
      <c r="X5" s="416" t="s">
        <v>81</v>
      </c>
      <c r="Y5" s="416" t="s">
        <v>80</v>
      </c>
      <c r="Z5" s="416" t="s">
        <v>81</v>
      </c>
      <c r="AA5" s="416" t="s">
        <v>80</v>
      </c>
      <c r="AB5" s="416" t="s">
        <v>81</v>
      </c>
      <c r="AC5" s="416" t="s">
        <v>80</v>
      </c>
      <c r="AD5" s="416" t="s">
        <v>81</v>
      </c>
      <c r="AE5" s="416" t="s">
        <v>80</v>
      </c>
      <c r="AF5" s="416" t="s">
        <v>81</v>
      </c>
      <c r="AG5" s="416" t="s">
        <v>80</v>
      </c>
      <c r="AH5" s="416" t="s">
        <v>81</v>
      </c>
      <c r="AI5" s="416" t="s">
        <v>80</v>
      </c>
      <c r="AJ5" s="416" t="s">
        <v>81</v>
      </c>
      <c r="AK5" s="416" t="s">
        <v>80</v>
      </c>
      <c r="AL5" s="416" t="s">
        <v>81</v>
      </c>
    </row>
    <row r="6" spans="1:39" x14ac:dyDescent="0.25">
      <c r="A6" s="398"/>
      <c r="B6" s="399"/>
      <c r="C6" s="393"/>
      <c r="D6" s="393"/>
      <c r="E6" s="393"/>
      <c r="F6" s="393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</row>
    <row r="7" spans="1:39" ht="15.6" customHeight="1" x14ac:dyDescent="0.25">
      <c r="A7" s="160">
        <v>1</v>
      </c>
      <c r="B7" s="157" t="s">
        <v>238</v>
      </c>
      <c r="C7" s="160">
        <v>86</v>
      </c>
      <c r="D7" s="160">
        <v>104</v>
      </c>
      <c r="E7" s="160">
        <f>ROUND(C7*$F$3,0)</f>
        <v>96</v>
      </c>
      <c r="F7" s="160">
        <f t="shared" ref="F7:F31" si="0">ROUND(D7*$F$3,0)</f>
        <v>116</v>
      </c>
      <c r="G7" s="189">
        <v>104</v>
      </c>
      <c r="H7" s="189">
        <v>126</v>
      </c>
      <c r="I7" s="203">
        <v>136.09603012633625</v>
      </c>
      <c r="J7" s="203">
        <v>165.04003012633626</v>
      </c>
      <c r="K7" s="199">
        <v>130.86156742916947</v>
      </c>
      <c r="L7" s="199">
        <v>130.98415089391767</v>
      </c>
      <c r="M7" s="199">
        <v>32.096030126336245</v>
      </c>
      <c r="N7" s="199">
        <v>39.040030126336262</v>
      </c>
      <c r="O7" s="203">
        <v>132.64480000000003</v>
      </c>
      <c r="P7" s="203">
        <v>161.59600000000003</v>
      </c>
      <c r="Q7" s="199">
        <v>127.54307692307695</v>
      </c>
      <c r="R7" s="199">
        <v>128.2507936507937</v>
      </c>
      <c r="S7" s="199">
        <v>28.644800000000032</v>
      </c>
      <c r="T7" s="199">
        <v>35.596000000000032</v>
      </c>
      <c r="U7" s="280">
        <f>'расчет по учреждениям'!R16</f>
        <v>156.17217948350586</v>
      </c>
      <c r="V7" s="280">
        <f>'расчет по учреждениям'!S16</f>
        <v>189.65936935085625</v>
      </c>
      <c r="W7" s="170">
        <f t="shared" ref="W7:W32" si="1">U7/G7*100</f>
        <v>150.1655571956787</v>
      </c>
      <c r="X7" s="205">
        <f t="shared" ref="X7:X32" si="2">V7/H7*100</f>
        <v>150.52330900861608</v>
      </c>
      <c r="Y7" s="192">
        <f t="shared" ref="Y7:AL7" si="3">U7-G7</f>
        <v>52.172179483505857</v>
      </c>
      <c r="Z7" s="192">
        <f t="shared" si="3"/>
        <v>63.659369350856252</v>
      </c>
      <c r="AA7" s="192">
        <f t="shared" si="3"/>
        <v>14.069527069342456</v>
      </c>
      <c r="AB7" s="192">
        <f t="shared" si="3"/>
        <v>-14.516721117720181</v>
      </c>
      <c r="AC7" s="192">
        <f t="shared" si="3"/>
        <v>-78.689387945663611</v>
      </c>
      <c r="AD7" s="192">
        <f t="shared" si="3"/>
        <v>-67.32478154306142</v>
      </c>
      <c r="AE7" s="192">
        <f t="shared" si="3"/>
        <v>-18.026503056993789</v>
      </c>
      <c r="AF7" s="192">
        <f t="shared" si="3"/>
        <v>-53.556751244056443</v>
      </c>
      <c r="AG7" s="192">
        <f t="shared" si="3"/>
        <v>-211.33418794566364</v>
      </c>
      <c r="AH7" s="192">
        <f t="shared" si="3"/>
        <v>-228.92078154306145</v>
      </c>
      <c r="AI7" s="192">
        <f t="shared" si="3"/>
        <v>-145.56957998007073</v>
      </c>
      <c r="AJ7" s="192">
        <f t="shared" si="3"/>
        <v>-181.80754489485014</v>
      </c>
      <c r="AK7" s="192">
        <f t="shared" si="3"/>
        <v>-239.97898794566368</v>
      </c>
      <c r="AL7" s="192">
        <f t="shared" si="3"/>
        <v>-264.51678154306148</v>
      </c>
    </row>
    <row r="8" spans="1:39" ht="14.45" customHeight="1" x14ac:dyDescent="0.25">
      <c r="A8" s="160">
        <v>2</v>
      </c>
      <c r="B8" s="161" t="s">
        <v>239</v>
      </c>
      <c r="C8" s="160">
        <v>86</v>
      </c>
      <c r="D8" s="160">
        <v>104</v>
      </c>
      <c r="E8" s="160">
        <f t="shared" ref="E8:E31" si="4">ROUND(C8*$F$3,0)</f>
        <v>96</v>
      </c>
      <c r="F8" s="160">
        <f t="shared" si="0"/>
        <v>116</v>
      </c>
      <c r="G8" s="189">
        <v>115</v>
      </c>
      <c r="H8" s="189">
        <v>140</v>
      </c>
      <c r="I8" s="203">
        <v>150.56893391642373</v>
      </c>
      <c r="J8" s="203">
        <v>183.13093391642371</v>
      </c>
      <c r="K8" s="199">
        <v>130.92950775341194</v>
      </c>
      <c r="L8" s="199">
        <v>130.80780994030266</v>
      </c>
      <c r="M8" s="199">
        <v>35.568933916423731</v>
      </c>
      <c r="N8" s="199">
        <v>43.130933916423714</v>
      </c>
      <c r="O8" s="203">
        <v>147.12040000000005</v>
      </c>
      <c r="P8" s="203">
        <v>179.69050000000001</v>
      </c>
      <c r="Q8" s="199">
        <v>127.93078260869571</v>
      </c>
      <c r="R8" s="199">
        <v>128.35035714285715</v>
      </c>
      <c r="S8" s="199">
        <v>32.120400000000046</v>
      </c>
      <c r="T8" s="199">
        <v>39.690500000000014</v>
      </c>
      <c r="U8" s="280">
        <f>'расчет по учреждениям'!R16</f>
        <v>156.17217948350586</v>
      </c>
      <c r="V8" s="280">
        <f>'расчет по учреждениям'!S16</f>
        <v>189.65936935085625</v>
      </c>
      <c r="W8" s="170">
        <f t="shared" si="1"/>
        <v>135.80189520304856</v>
      </c>
      <c r="X8" s="205">
        <f t="shared" si="2"/>
        <v>135.47097810775446</v>
      </c>
      <c r="Y8" s="192">
        <f t="shared" ref="Y8:Y32" si="5">U8-G8</f>
        <v>41.172179483505857</v>
      </c>
      <c r="Z8" s="192">
        <f t="shared" ref="Z8:Z32" si="6">V8-H8</f>
        <v>49.659369350856252</v>
      </c>
      <c r="AA8" s="180">
        <v>147.12040000000005</v>
      </c>
      <c r="AB8" s="180">
        <v>179.69050000000001</v>
      </c>
      <c r="AC8" s="170" t="e">
        <f>AA8/#REF!*100</f>
        <v>#REF!</v>
      </c>
      <c r="AD8" s="170" t="e">
        <f>AB8/#REF!*100</f>
        <v>#REF!</v>
      </c>
      <c r="AE8" s="172" t="e">
        <f>AA8-#REF!</f>
        <v>#REF!</v>
      </c>
      <c r="AF8" s="172" t="e">
        <f>AB8-#REF!</f>
        <v>#REF!</v>
      </c>
      <c r="AG8" s="180" t="e">
        <f>#REF!+0.134*#REF!</f>
        <v>#REF!</v>
      </c>
      <c r="AH8" s="180" t="e">
        <f>#REF!+0.134*#REF!</f>
        <v>#REF!</v>
      </c>
      <c r="AI8" s="170" t="e">
        <f>AG8/#REF!*100</f>
        <v>#REF!</v>
      </c>
      <c r="AJ8" s="170" t="e">
        <f>AH8/#REF!*100</f>
        <v>#REF!</v>
      </c>
      <c r="AK8" s="172" t="e">
        <f>AG8-#REF!</f>
        <v>#REF!</v>
      </c>
      <c r="AL8" s="172" t="e">
        <f>AH8-#REF!</f>
        <v>#REF!</v>
      </c>
    </row>
    <row r="9" spans="1:39" x14ac:dyDescent="0.25">
      <c r="A9" s="160">
        <v>3</v>
      </c>
      <c r="B9" s="161" t="s">
        <v>240</v>
      </c>
      <c r="C9" s="160">
        <v>81</v>
      </c>
      <c r="D9" s="160">
        <v>99</v>
      </c>
      <c r="E9" s="160">
        <f t="shared" si="4"/>
        <v>90</v>
      </c>
      <c r="F9" s="160">
        <f t="shared" si="0"/>
        <v>110</v>
      </c>
      <c r="G9" s="189">
        <v>99</v>
      </c>
      <c r="H9" s="189">
        <v>121</v>
      </c>
      <c r="I9" s="203">
        <v>130.26610787172012</v>
      </c>
      <c r="J9" s="203">
        <v>159.21010787172014</v>
      </c>
      <c r="K9" s="199">
        <v>131.58192714315163</v>
      </c>
      <c r="L9" s="199">
        <v>131.57860154687614</v>
      </c>
      <c r="M9" s="199">
        <v>31.266107871720124</v>
      </c>
      <c r="N9" s="199">
        <v>38.21010787172014</v>
      </c>
      <c r="O9" s="203">
        <v>127.69480000000003</v>
      </c>
      <c r="P9" s="203">
        <v>156.64600000000002</v>
      </c>
      <c r="Q9" s="199">
        <v>128.98464646464649</v>
      </c>
      <c r="R9" s="199">
        <v>129.45950413223142</v>
      </c>
      <c r="S9" s="199">
        <v>28.694800000000029</v>
      </c>
      <c r="T9" s="199">
        <v>35.646000000000015</v>
      </c>
      <c r="U9" s="280" t="e">
        <f>'расчет по учреждениям'!#REF!</f>
        <v>#REF!</v>
      </c>
      <c r="V9" s="280" t="e">
        <f>'расчет по учреждениям'!#REF!</f>
        <v>#REF!</v>
      </c>
      <c r="W9" s="170" t="e">
        <f t="shared" si="1"/>
        <v>#REF!</v>
      </c>
      <c r="X9" s="205" t="e">
        <f t="shared" si="2"/>
        <v>#REF!</v>
      </c>
      <c r="Y9" s="192" t="e">
        <f t="shared" si="5"/>
        <v>#REF!</v>
      </c>
      <c r="Z9" s="192" t="e">
        <f t="shared" si="6"/>
        <v>#REF!</v>
      </c>
      <c r="AA9" s="180">
        <v>127.69480000000003</v>
      </c>
      <c r="AB9" s="180">
        <v>156.64600000000002</v>
      </c>
      <c r="AC9" s="170" t="e">
        <f>AA9/#REF!*100</f>
        <v>#REF!</v>
      </c>
      <c r="AD9" s="170" t="e">
        <f>AB9/#REF!*100</f>
        <v>#REF!</v>
      </c>
      <c r="AE9" s="172" t="e">
        <f>AA9-#REF!</f>
        <v>#REF!</v>
      </c>
      <c r="AF9" s="172" t="e">
        <f>AB9-#REF!</f>
        <v>#REF!</v>
      </c>
      <c r="AG9" s="180" t="e">
        <f>#REF!+0.134*#REF!</f>
        <v>#REF!</v>
      </c>
      <c r="AH9" s="180" t="e">
        <f>#REF!+0.134*#REF!</f>
        <v>#REF!</v>
      </c>
      <c r="AI9" s="170" t="e">
        <f>AG9/#REF!*100</f>
        <v>#REF!</v>
      </c>
      <c r="AJ9" s="170" t="e">
        <f>AH9/#REF!*100</f>
        <v>#REF!</v>
      </c>
      <c r="AK9" s="172" t="e">
        <f>AG9-#REF!</f>
        <v>#REF!</v>
      </c>
      <c r="AL9" s="172" t="e">
        <f>AH9-#REF!</f>
        <v>#REF!</v>
      </c>
    </row>
    <row r="10" spans="1:39" x14ac:dyDescent="0.25">
      <c r="A10" s="160">
        <v>4</v>
      </c>
      <c r="B10" s="161" t="s">
        <v>241</v>
      </c>
      <c r="C10" s="160">
        <v>81</v>
      </c>
      <c r="D10" s="160">
        <v>99</v>
      </c>
      <c r="E10" s="160">
        <f t="shared" si="4"/>
        <v>90</v>
      </c>
      <c r="F10" s="160">
        <f t="shared" si="0"/>
        <v>110</v>
      </c>
      <c r="G10" s="189">
        <v>99</v>
      </c>
      <c r="H10" s="189">
        <v>121</v>
      </c>
      <c r="I10" s="203">
        <v>130.26603012633626</v>
      </c>
      <c r="J10" s="203">
        <v>159.21003012633625</v>
      </c>
      <c r="K10" s="199">
        <v>131.58184861246087</v>
      </c>
      <c r="L10" s="199">
        <v>131.57853729449275</v>
      </c>
      <c r="M10" s="199">
        <v>31.266030126336261</v>
      </c>
      <c r="N10" s="199">
        <v>38.21003012633625</v>
      </c>
      <c r="O10" s="203">
        <v>127.69480000000003</v>
      </c>
      <c r="P10" s="203">
        <v>156.64600000000002</v>
      </c>
      <c r="Q10" s="199">
        <v>128.98464646464649</v>
      </c>
      <c r="R10" s="199">
        <v>129.45950413223142</v>
      </c>
      <c r="S10" s="199">
        <v>28.694800000000029</v>
      </c>
      <c r="T10" s="199">
        <v>35.646000000000015</v>
      </c>
      <c r="U10" s="280" t="e">
        <f>'расчет по учреждениям'!#REF!</f>
        <v>#REF!</v>
      </c>
      <c r="V10" s="280" t="e">
        <f>'расчет по учреждениям'!#REF!</f>
        <v>#REF!</v>
      </c>
      <c r="W10" s="170" t="e">
        <f t="shared" si="1"/>
        <v>#REF!</v>
      </c>
      <c r="X10" s="205" t="e">
        <f t="shared" si="2"/>
        <v>#REF!</v>
      </c>
      <c r="Y10" s="192" t="e">
        <f t="shared" si="5"/>
        <v>#REF!</v>
      </c>
      <c r="Z10" s="192" t="e">
        <f t="shared" si="6"/>
        <v>#REF!</v>
      </c>
      <c r="AA10" s="180">
        <v>127.69480000000003</v>
      </c>
      <c r="AB10" s="180">
        <v>156.64600000000002</v>
      </c>
      <c r="AC10" s="170" t="e">
        <f>AA10/#REF!*100</f>
        <v>#REF!</v>
      </c>
      <c r="AD10" s="170" t="e">
        <f>AB10/#REF!*100</f>
        <v>#REF!</v>
      </c>
      <c r="AE10" s="172" t="e">
        <f>AA10-#REF!</f>
        <v>#REF!</v>
      </c>
      <c r="AF10" s="172" t="e">
        <f>AB10-#REF!</f>
        <v>#REF!</v>
      </c>
      <c r="AG10" s="180" t="e">
        <f>#REF!+0.134*#REF!</f>
        <v>#REF!</v>
      </c>
      <c r="AH10" s="180" t="e">
        <f>#REF!+0.134*#REF!</f>
        <v>#REF!</v>
      </c>
      <c r="AI10" s="170" t="e">
        <f>AG10/#REF!*100</f>
        <v>#REF!</v>
      </c>
      <c r="AJ10" s="170" t="e">
        <f>AH10/#REF!*100</f>
        <v>#REF!</v>
      </c>
      <c r="AK10" s="172" t="e">
        <f>AG10-#REF!</f>
        <v>#REF!</v>
      </c>
      <c r="AL10" s="172" t="e">
        <f>AH10-#REF!</f>
        <v>#REF!</v>
      </c>
    </row>
    <row r="11" spans="1:39" x14ac:dyDescent="0.25">
      <c r="A11" s="160">
        <v>5</v>
      </c>
      <c r="B11" s="161" t="s">
        <v>242</v>
      </c>
      <c r="C11" s="160">
        <v>94</v>
      </c>
      <c r="D11" s="160">
        <v>115</v>
      </c>
      <c r="E11" s="160">
        <f t="shared" si="4"/>
        <v>104</v>
      </c>
      <c r="F11" s="160">
        <f t="shared" si="0"/>
        <v>128</v>
      </c>
      <c r="G11" s="189">
        <v>115</v>
      </c>
      <c r="H11" s="189">
        <v>140</v>
      </c>
      <c r="I11" s="203">
        <v>150.56893391642373</v>
      </c>
      <c r="J11" s="203">
        <v>183.13093391642371</v>
      </c>
      <c r="K11" s="199">
        <v>130.92950775341194</v>
      </c>
      <c r="L11" s="199">
        <v>130.80780994030266</v>
      </c>
      <c r="M11" s="199">
        <v>35.568933916423731</v>
      </c>
      <c r="N11" s="199">
        <v>43.130933916423714</v>
      </c>
      <c r="O11" s="203">
        <v>147.12040000000005</v>
      </c>
      <c r="P11" s="203">
        <v>179.69050000000001</v>
      </c>
      <c r="Q11" s="199">
        <v>127.93078260869571</v>
      </c>
      <c r="R11" s="199">
        <v>128.35035714285715</v>
      </c>
      <c r="S11" s="199">
        <v>32.120400000000046</v>
      </c>
      <c r="T11" s="199">
        <v>39.690500000000014</v>
      </c>
      <c r="U11" s="280">
        <f>'расчет по учреждениям'!R16</f>
        <v>156.17217948350586</v>
      </c>
      <c r="V11" s="280">
        <f>'расчет по учреждениям'!S16</f>
        <v>189.65936935085625</v>
      </c>
      <c r="W11" s="170">
        <f t="shared" si="1"/>
        <v>135.80189520304856</v>
      </c>
      <c r="X11" s="205">
        <f t="shared" si="2"/>
        <v>135.47097810775446</v>
      </c>
      <c r="Y11" s="192">
        <f t="shared" si="5"/>
        <v>41.172179483505857</v>
      </c>
      <c r="Z11" s="192">
        <f t="shared" si="6"/>
        <v>49.659369350856252</v>
      </c>
      <c r="AA11" s="180">
        <v>147.12040000000005</v>
      </c>
      <c r="AB11" s="180">
        <v>179.69050000000001</v>
      </c>
      <c r="AC11" s="170" t="e">
        <f>AA11/#REF!*100</f>
        <v>#REF!</v>
      </c>
      <c r="AD11" s="170" t="e">
        <f>AB11/#REF!*100</f>
        <v>#REF!</v>
      </c>
      <c r="AE11" s="172" t="e">
        <f>AA11-#REF!</f>
        <v>#REF!</v>
      </c>
      <c r="AF11" s="172" t="e">
        <f>AB11-#REF!</f>
        <v>#REF!</v>
      </c>
      <c r="AG11" s="180" t="e">
        <f>#REF!+0.134*#REF!</f>
        <v>#REF!</v>
      </c>
      <c r="AH11" s="180" t="e">
        <f>#REF!+0.134*#REF!</f>
        <v>#REF!</v>
      </c>
      <c r="AI11" s="170" t="e">
        <f>AG11/#REF!*100</f>
        <v>#REF!</v>
      </c>
      <c r="AJ11" s="170" t="e">
        <f>AH11/#REF!*100</f>
        <v>#REF!</v>
      </c>
      <c r="AK11" s="172" t="e">
        <f>AG11-#REF!</f>
        <v>#REF!</v>
      </c>
      <c r="AL11" s="172" t="e">
        <f>AH11-#REF!</f>
        <v>#REF!</v>
      </c>
    </row>
    <row r="12" spans="1:39" x14ac:dyDescent="0.25">
      <c r="A12" s="160">
        <v>6</v>
      </c>
      <c r="B12" s="161" t="s">
        <v>243</v>
      </c>
      <c r="C12" s="160">
        <v>81</v>
      </c>
      <c r="D12" s="160">
        <v>99</v>
      </c>
      <c r="E12" s="160">
        <f t="shared" si="4"/>
        <v>90</v>
      </c>
      <c r="F12" s="160">
        <f t="shared" si="0"/>
        <v>110</v>
      </c>
      <c r="G12" s="189">
        <v>99</v>
      </c>
      <c r="H12" s="189">
        <v>121</v>
      </c>
      <c r="I12" s="203">
        <v>130.26610787172012</v>
      </c>
      <c r="J12" s="203">
        <v>159.21010787172014</v>
      </c>
      <c r="K12" s="199">
        <v>131.58192714315163</v>
      </c>
      <c r="L12" s="199">
        <v>131.57860154687614</v>
      </c>
      <c r="M12" s="199">
        <v>31.266107871720124</v>
      </c>
      <c r="N12" s="199">
        <v>38.21010787172014</v>
      </c>
      <c r="O12" s="203">
        <v>127.69480000000003</v>
      </c>
      <c r="P12" s="203">
        <v>156.64600000000002</v>
      </c>
      <c r="Q12" s="199">
        <v>128.98464646464649</v>
      </c>
      <c r="R12" s="199">
        <v>129.45950413223142</v>
      </c>
      <c r="S12" s="199">
        <v>28.694800000000029</v>
      </c>
      <c r="T12" s="199">
        <v>35.646000000000015</v>
      </c>
      <c r="U12" s="280" t="e">
        <f>'расчет по учреждениям'!#REF!</f>
        <v>#REF!</v>
      </c>
      <c r="V12" s="280" t="e">
        <f>'расчет по учреждениям'!#REF!</f>
        <v>#REF!</v>
      </c>
      <c r="W12" s="170" t="e">
        <f t="shared" si="1"/>
        <v>#REF!</v>
      </c>
      <c r="X12" s="205" t="e">
        <f t="shared" si="2"/>
        <v>#REF!</v>
      </c>
      <c r="Y12" s="192" t="e">
        <f t="shared" si="5"/>
        <v>#REF!</v>
      </c>
      <c r="Z12" s="192" t="e">
        <f t="shared" si="6"/>
        <v>#REF!</v>
      </c>
      <c r="AA12" s="180">
        <v>127.69480000000003</v>
      </c>
      <c r="AB12" s="180">
        <v>156.64600000000002</v>
      </c>
      <c r="AC12" s="170" t="e">
        <f>AA12/#REF!*100</f>
        <v>#REF!</v>
      </c>
      <c r="AD12" s="170" t="e">
        <f>AB12/#REF!*100</f>
        <v>#REF!</v>
      </c>
      <c r="AE12" s="172" t="e">
        <f>AA12-#REF!</f>
        <v>#REF!</v>
      </c>
      <c r="AF12" s="172" t="e">
        <f>AB12-#REF!</f>
        <v>#REF!</v>
      </c>
      <c r="AG12" s="180" t="e">
        <f>#REF!+0.134*#REF!</f>
        <v>#REF!</v>
      </c>
      <c r="AH12" s="180" t="e">
        <f>#REF!+0.134*#REF!</f>
        <v>#REF!</v>
      </c>
      <c r="AI12" s="170" t="e">
        <f>AG12/#REF!*100</f>
        <v>#REF!</v>
      </c>
      <c r="AJ12" s="170" t="e">
        <f>AH12/#REF!*100</f>
        <v>#REF!</v>
      </c>
      <c r="AK12" s="172" t="e">
        <f>AG12-#REF!</f>
        <v>#REF!</v>
      </c>
      <c r="AL12" s="172" t="e">
        <f>AH12-#REF!</f>
        <v>#REF!</v>
      </c>
    </row>
    <row r="13" spans="1:39" x14ac:dyDescent="0.25">
      <c r="A13" s="160">
        <v>7</v>
      </c>
      <c r="B13" s="161" t="s">
        <v>244</v>
      </c>
      <c r="C13" s="160">
        <v>77</v>
      </c>
      <c r="D13" s="160">
        <v>94</v>
      </c>
      <c r="E13" s="160">
        <f t="shared" si="4"/>
        <v>86</v>
      </c>
      <c r="F13" s="160">
        <f t="shared" si="0"/>
        <v>104</v>
      </c>
      <c r="G13" s="189">
        <v>95</v>
      </c>
      <c r="H13" s="189">
        <v>114</v>
      </c>
      <c r="I13" s="203">
        <v>123.15822302233627</v>
      </c>
      <c r="J13" s="203">
        <v>148.89277124633625</v>
      </c>
      <c r="K13" s="199">
        <v>129.64023476035399</v>
      </c>
      <c r="L13" s="199">
        <v>130.60769407573355</v>
      </c>
      <c r="M13" s="199">
        <v>28.158223022336273</v>
      </c>
      <c r="N13" s="199">
        <v>34.892771246336252</v>
      </c>
      <c r="O13" s="203">
        <v>119.77760000000004</v>
      </c>
      <c r="P13" s="203">
        <v>145.51200000000003</v>
      </c>
      <c r="Q13" s="199">
        <v>126.08168421052635</v>
      </c>
      <c r="R13" s="199">
        <v>127.64210526315792</v>
      </c>
      <c r="S13" s="199">
        <v>24.777600000000035</v>
      </c>
      <c r="T13" s="199">
        <v>31.512000000000029</v>
      </c>
      <c r="U13" s="280" t="e">
        <f>'расчет по учреждениям'!#REF!</f>
        <v>#REF!</v>
      </c>
      <c r="V13" s="280" t="e">
        <f>'расчет по учреждениям'!#REF!</f>
        <v>#REF!</v>
      </c>
      <c r="W13" s="170" t="e">
        <f t="shared" si="1"/>
        <v>#REF!</v>
      </c>
      <c r="X13" s="205" t="e">
        <f t="shared" si="2"/>
        <v>#REF!</v>
      </c>
      <c r="Y13" s="192" t="e">
        <f t="shared" si="5"/>
        <v>#REF!</v>
      </c>
      <c r="Z13" s="192" t="e">
        <f t="shared" si="6"/>
        <v>#REF!</v>
      </c>
      <c r="AA13" s="180">
        <v>119.77760000000004</v>
      </c>
      <c r="AB13" s="180">
        <v>145.51200000000003</v>
      </c>
      <c r="AC13" s="170" t="e">
        <f>AA13/#REF!*100</f>
        <v>#REF!</v>
      </c>
      <c r="AD13" s="170" t="e">
        <f>AB13/#REF!*100</f>
        <v>#REF!</v>
      </c>
      <c r="AE13" s="172" t="e">
        <f>AA13-#REF!</f>
        <v>#REF!</v>
      </c>
      <c r="AF13" s="172" t="e">
        <f>AB13-#REF!</f>
        <v>#REF!</v>
      </c>
      <c r="AG13" s="180" t="e">
        <f>#REF!+0.134*#REF!</f>
        <v>#REF!</v>
      </c>
      <c r="AH13" s="180" t="e">
        <f>#REF!+0.134*#REF!</f>
        <v>#REF!</v>
      </c>
      <c r="AI13" s="170" t="e">
        <f>AG13/#REF!*100</f>
        <v>#REF!</v>
      </c>
      <c r="AJ13" s="170" t="e">
        <f>AH13/#REF!*100</f>
        <v>#REF!</v>
      </c>
      <c r="AK13" s="172" t="e">
        <f>AG13-#REF!</f>
        <v>#REF!</v>
      </c>
      <c r="AL13" s="172" t="e">
        <f>AH13-#REF!</f>
        <v>#REF!</v>
      </c>
    </row>
    <row r="14" spans="1:39" x14ac:dyDescent="0.25">
      <c r="A14" s="160">
        <v>8</v>
      </c>
      <c r="B14" s="161" t="s">
        <v>245</v>
      </c>
      <c r="C14" s="160">
        <v>77</v>
      </c>
      <c r="D14" s="160">
        <v>94</v>
      </c>
      <c r="E14" s="160">
        <f t="shared" si="4"/>
        <v>86</v>
      </c>
      <c r="F14" s="160">
        <f t="shared" si="0"/>
        <v>104</v>
      </c>
      <c r="G14" s="189">
        <v>95</v>
      </c>
      <c r="H14" s="189">
        <v>114</v>
      </c>
      <c r="I14" s="203">
        <v>123.15822302233627</v>
      </c>
      <c r="J14" s="203">
        <v>148.89277124633625</v>
      </c>
      <c r="K14" s="199">
        <v>129.64023476035399</v>
      </c>
      <c r="L14" s="199">
        <v>130.60769407573355</v>
      </c>
      <c r="M14" s="199">
        <v>28.158223022336273</v>
      </c>
      <c r="N14" s="199">
        <v>34.892771246336252</v>
      </c>
      <c r="O14" s="203">
        <v>119.77760000000004</v>
      </c>
      <c r="P14" s="203">
        <v>145.51200000000003</v>
      </c>
      <c r="Q14" s="199">
        <v>126.08168421052635</v>
      </c>
      <c r="R14" s="199">
        <v>127.64210526315792</v>
      </c>
      <c r="S14" s="199">
        <v>24.777600000000035</v>
      </c>
      <c r="T14" s="199">
        <v>31.512000000000029</v>
      </c>
      <c r="U14" s="280" t="e">
        <f>'расчет по учреждениям'!#REF!</f>
        <v>#REF!</v>
      </c>
      <c r="V14" s="280" t="e">
        <f>'расчет по учреждениям'!#REF!</f>
        <v>#REF!</v>
      </c>
      <c r="W14" s="170" t="e">
        <f t="shared" si="1"/>
        <v>#REF!</v>
      </c>
      <c r="X14" s="205" t="e">
        <f t="shared" si="2"/>
        <v>#REF!</v>
      </c>
      <c r="Y14" s="192" t="e">
        <f t="shared" si="5"/>
        <v>#REF!</v>
      </c>
      <c r="Z14" s="192" t="e">
        <f t="shared" si="6"/>
        <v>#REF!</v>
      </c>
      <c r="AA14" s="180">
        <v>119.77760000000004</v>
      </c>
      <c r="AB14" s="180">
        <v>145.51200000000003</v>
      </c>
      <c r="AC14" s="170" t="e">
        <f>AA14/#REF!*100</f>
        <v>#REF!</v>
      </c>
      <c r="AD14" s="170" t="e">
        <f>AB14/#REF!*100</f>
        <v>#REF!</v>
      </c>
      <c r="AE14" s="172" t="e">
        <f>AA14-#REF!</f>
        <v>#REF!</v>
      </c>
      <c r="AF14" s="172" t="e">
        <f>AB14-#REF!</f>
        <v>#REF!</v>
      </c>
      <c r="AG14" s="180" t="e">
        <f>#REF!+0.134*#REF!</f>
        <v>#REF!</v>
      </c>
      <c r="AH14" s="180" t="e">
        <f>#REF!+0.134*#REF!</f>
        <v>#REF!</v>
      </c>
      <c r="AI14" s="170" t="e">
        <f>AG14/#REF!*100</f>
        <v>#REF!</v>
      </c>
      <c r="AJ14" s="170" t="e">
        <f>AH14/#REF!*100</f>
        <v>#REF!</v>
      </c>
      <c r="AK14" s="172" t="e">
        <f>AG14-#REF!</f>
        <v>#REF!</v>
      </c>
      <c r="AL14" s="172" t="e">
        <f>AH14-#REF!</f>
        <v>#REF!</v>
      </c>
    </row>
    <row r="15" spans="1:39" x14ac:dyDescent="0.25">
      <c r="A15" s="160">
        <v>9</v>
      </c>
      <c r="B15" s="161" t="s">
        <v>246</v>
      </c>
      <c r="C15" s="160">
        <v>73</v>
      </c>
      <c r="D15" s="160">
        <v>90</v>
      </c>
      <c r="E15" s="160">
        <f t="shared" si="4"/>
        <v>81</v>
      </c>
      <c r="F15" s="160">
        <f t="shared" si="0"/>
        <v>100</v>
      </c>
      <c r="G15" s="189">
        <v>90</v>
      </c>
      <c r="H15" s="189">
        <v>109</v>
      </c>
      <c r="I15" s="203">
        <v>117.42822302233627</v>
      </c>
      <c r="J15" s="203">
        <v>143.16277124633626</v>
      </c>
      <c r="K15" s="199">
        <v>130.47580335815141</v>
      </c>
      <c r="L15" s="199">
        <v>131.34199196911584</v>
      </c>
      <c r="M15" s="199">
        <v>27.428223022336269</v>
      </c>
      <c r="N15" s="199">
        <v>34.162771246336263</v>
      </c>
      <c r="O15" s="203">
        <v>114.82760000000003</v>
      </c>
      <c r="P15" s="203">
        <v>140.56200000000001</v>
      </c>
      <c r="Q15" s="199">
        <v>127.58622222222226</v>
      </c>
      <c r="R15" s="199">
        <v>128.95596330275231</v>
      </c>
      <c r="S15" s="199">
        <v>24.827600000000032</v>
      </c>
      <c r="T15" s="199">
        <v>31.562000000000012</v>
      </c>
      <c r="U15" s="280" t="e">
        <f>'расчет по учреждениям'!#REF!</f>
        <v>#REF!</v>
      </c>
      <c r="V15" s="280" t="e">
        <f>'расчет по учреждениям'!#REF!</f>
        <v>#REF!</v>
      </c>
      <c r="W15" s="170" t="e">
        <f t="shared" si="1"/>
        <v>#REF!</v>
      </c>
      <c r="X15" s="205" t="e">
        <f t="shared" si="2"/>
        <v>#REF!</v>
      </c>
      <c r="Y15" s="192" t="e">
        <f t="shared" si="5"/>
        <v>#REF!</v>
      </c>
      <c r="Z15" s="192" t="e">
        <f t="shared" si="6"/>
        <v>#REF!</v>
      </c>
      <c r="AA15" s="180">
        <v>114.82760000000003</v>
      </c>
      <c r="AB15" s="180">
        <v>140.56200000000001</v>
      </c>
      <c r="AC15" s="170" t="e">
        <f>AA15/#REF!*100</f>
        <v>#REF!</v>
      </c>
      <c r="AD15" s="170" t="e">
        <f>AB15/#REF!*100</f>
        <v>#REF!</v>
      </c>
      <c r="AE15" s="172" t="e">
        <f>AA15-#REF!</f>
        <v>#REF!</v>
      </c>
      <c r="AF15" s="172" t="e">
        <f>AB15-#REF!</f>
        <v>#REF!</v>
      </c>
      <c r="AG15" s="180" t="e">
        <f>#REF!+0.134*#REF!</f>
        <v>#REF!</v>
      </c>
      <c r="AH15" s="180" t="e">
        <f>#REF!+0.134*#REF!</f>
        <v>#REF!</v>
      </c>
      <c r="AI15" s="170" t="e">
        <f>AG15/#REF!*100</f>
        <v>#REF!</v>
      </c>
      <c r="AJ15" s="170" t="e">
        <f>AH15/#REF!*100</f>
        <v>#REF!</v>
      </c>
      <c r="AK15" s="172" t="e">
        <f>AG15-#REF!</f>
        <v>#REF!</v>
      </c>
      <c r="AL15" s="172" t="e">
        <f>AH15-#REF!</f>
        <v>#REF!</v>
      </c>
    </row>
    <row r="16" spans="1:39" ht="16.5" customHeight="1" x14ac:dyDescent="0.25">
      <c r="A16" s="160">
        <v>10</v>
      </c>
      <c r="B16" s="158" t="s">
        <v>83</v>
      </c>
      <c r="C16" s="176">
        <v>90</v>
      </c>
      <c r="D16" s="176">
        <v>109</v>
      </c>
      <c r="E16" s="176">
        <f t="shared" si="4"/>
        <v>100</v>
      </c>
      <c r="F16" s="176">
        <f t="shared" si="0"/>
        <v>121</v>
      </c>
      <c r="G16" s="191">
        <v>109</v>
      </c>
      <c r="H16" s="191">
        <v>133</v>
      </c>
      <c r="I16" s="183">
        <v>143.13003012633627</v>
      </c>
      <c r="J16" s="183">
        <v>175.29003012633626</v>
      </c>
      <c r="K16" s="200">
        <v>131.3119542443452</v>
      </c>
      <c r="L16" s="200">
        <v>131.79701513258365</v>
      </c>
      <c r="M16" s="200">
        <v>34.130030126336266</v>
      </c>
      <c r="N16" s="200">
        <v>42.290030126336262</v>
      </c>
      <c r="O16" s="183">
        <v>140.56200000000001</v>
      </c>
      <c r="P16" s="183">
        <v>172.73000000000002</v>
      </c>
      <c r="Q16" s="200">
        <v>128.95596330275231</v>
      </c>
      <c r="R16" s="200">
        <v>129.87218045112783</v>
      </c>
      <c r="S16" s="200">
        <v>31.562000000000012</v>
      </c>
      <c r="T16" s="200">
        <v>39.730000000000018</v>
      </c>
      <c r="U16" s="280" t="e">
        <f>'расчет по учреждениям'!#REF!</f>
        <v>#REF!</v>
      </c>
      <c r="V16" s="280" t="e">
        <f>'расчет по учреждениям'!#REF!</f>
        <v>#REF!</v>
      </c>
      <c r="W16" s="170" t="e">
        <f t="shared" si="1"/>
        <v>#REF!</v>
      </c>
      <c r="X16" s="205" t="e">
        <f t="shared" si="2"/>
        <v>#REF!</v>
      </c>
      <c r="Y16" s="192" t="e">
        <f t="shared" si="5"/>
        <v>#REF!</v>
      </c>
      <c r="Z16" s="192" t="e">
        <f t="shared" si="6"/>
        <v>#REF!</v>
      </c>
      <c r="AA16" s="180">
        <v>140.56200000000001</v>
      </c>
      <c r="AB16" s="180">
        <v>172.73000000000002</v>
      </c>
      <c r="AC16" s="170" t="e">
        <f>AA16/#REF!*100</f>
        <v>#REF!</v>
      </c>
      <c r="AD16" s="170" t="e">
        <f>AB16/#REF!*100</f>
        <v>#REF!</v>
      </c>
      <c r="AE16" s="172" t="e">
        <f>AA16-#REF!</f>
        <v>#REF!</v>
      </c>
      <c r="AF16" s="172" t="e">
        <f>AB16-#REF!</f>
        <v>#REF!</v>
      </c>
      <c r="AG16" s="180" t="e">
        <f>#REF!+0.134*#REF!</f>
        <v>#REF!</v>
      </c>
      <c r="AH16" s="180" t="e">
        <f>#REF!+0.134*#REF!</f>
        <v>#REF!</v>
      </c>
      <c r="AI16" s="170" t="e">
        <f>AG16/#REF!*100</f>
        <v>#REF!</v>
      </c>
      <c r="AJ16" s="170" t="e">
        <f>AH16/#REF!*100</f>
        <v>#REF!</v>
      </c>
      <c r="AK16" s="172" t="e">
        <f>AG16-#REF!</f>
        <v>#REF!</v>
      </c>
      <c r="AL16" s="172" t="e">
        <f>AH16-#REF!</f>
        <v>#REF!</v>
      </c>
    </row>
    <row r="17" spans="1:38" x14ac:dyDescent="0.25">
      <c r="A17" s="160">
        <v>11</v>
      </c>
      <c r="B17" s="161" t="s">
        <v>247</v>
      </c>
      <c r="C17" s="160">
        <v>81</v>
      </c>
      <c r="D17" s="160">
        <v>99</v>
      </c>
      <c r="E17" s="160">
        <f t="shared" si="4"/>
        <v>90</v>
      </c>
      <c r="F17" s="160">
        <f t="shared" si="0"/>
        <v>110</v>
      </c>
      <c r="G17" s="189">
        <v>99</v>
      </c>
      <c r="H17" s="189">
        <v>121</v>
      </c>
      <c r="I17" s="203">
        <v>130.26610787172012</v>
      </c>
      <c r="J17" s="203">
        <v>159.21010787172014</v>
      </c>
      <c r="K17" s="199">
        <v>131.58192714315163</v>
      </c>
      <c r="L17" s="199">
        <v>131.57860154687614</v>
      </c>
      <c r="M17" s="199">
        <v>31.266107871720124</v>
      </c>
      <c r="N17" s="199">
        <v>38.21010787172014</v>
      </c>
      <c r="O17" s="203">
        <v>127.69480000000003</v>
      </c>
      <c r="P17" s="203">
        <v>156.64600000000002</v>
      </c>
      <c r="Q17" s="199">
        <v>128.98464646464649</v>
      </c>
      <c r="R17" s="199">
        <v>129.45950413223142</v>
      </c>
      <c r="S17" s="199">
        <v>28.694800000000029</v>
      </c>
      <c r="T17" s="199">
        <v>35.646000000000015</v>
      </c>
      <c r="U17" s="280" t="e">
        <f>'расчет по учреждениям'!#REF!</f>
        <v>#REF!</v>
      </c>
      <c r="V17" s="280" t="e">
        <f>'расчет по учреждениям'!#REF!</f>
        <v>#REF!</v>
      </c>
      <c r="W17" s="170" t="e">
        <f t="shared" si="1"/>
        <v>#REF!</v>
      </c>
      <c r="X17" s="205" t="e">
        <f t="shared" si="2"/>
        <v>#REF!</v>
      </c>
      <c r="Y17" s="192" t="e">
        <f t="shared" si="5"/>
        <v>#REF!</v>
      </c>
      <c r="Z17" s="192" t="e">
        <f t="shared" si="6"/>
        <v>#REF!</v>
      </c>
      <c r="AA17" s="180">
        <v>127.69480000000003</v>
      </c>
      <c r="AB17" s="180">
        <v>156.64600000000002</v>
      </c>
      <c r="AC17" s="170" t="e">
        <f>AA17/#REF!*100</f>
        <v>#REF!</v>
      </c>
      <c r="AD17" s="170" t="e">
        <f>AB17/#REF!*100</f>
        <v>#REF!</v>
      </c>
      <c r="AE17" s="172" t="e">
        <f>AA17-#REF!</f>
        <v>#REF!</v>
      </c>
      <c r="AF17" s="172" t="e">
        <f>AB17-#REF!</f>
        <v>#REF!</v>
      </c>
      <c r="AG17" s="180" t="e">
        <f>#REF!+0.134*#REF!</f>
        <v>#REF!</v>
      </c>
      <c r="AH17" s="180" t="e">
        <f>#REF!+0.134*#REF!</f>
        <v>#REF!</v>
      </c>
      <c r="AI17" s="170" t="e">
        <f>AG17/#REF!*100</f>
        <v>#REF!</v>
      </c>
      <c r="AJ17" s="170" t="e">
        <f>AH17/#REF!*100</f>
        <v>#REF!</v>
      </c>
      <c r="AK17" s="172" t="e">
        <f>AG17-#REF!</f>
        <v>#REF!</v>
      </c>
      <c r="AL17" s="172" t="e">
        <f>AH17-#REF!</f>
        <v>#REF!</v>
      </c>
    </row>
    <row r="18" spans="1:38" x14ac:dyDescent="0.25">
      <c r="A18" s="160">
        <v>12</v>
      </c>
      <c r="B18" s="161" t="s">
        <v>248</v>
      </c>
      <c r="C18" s="163">
        <v>86</v>
      </c>
      <c r="D18" s="163">
        <v>104</v>
      </c>
      <c r="E18" s="163">
        <f t="shared" si="4"/>
        <v>96</v>
      </c>
      <c r="F18" s="163">
        <f t="shared" si="0"/>
        <v>116</v>
      </c>
      <c r="G18" s="197">
        <v>99</v>
      </c>
      <c r="H18" s="197">
        <v>121</v>
      </c>
      <c r="I18" s="203">
        <v>130.26603012633626</v>
      </c>
      <c r="J18" s="203">
        <v>159.21003012633625</v>
      </c>
      <c r="K18" s="201">
        <v>131.58184861246087</v>
      </c>
      <c r="L18" s="201">
        <v>131.57853729449275</v>
      </c>
      <c r="M18" s="201">
        <v>31.266030126336261</v>
      </c>
      <c r="N18" s="201">
        <v>38.21003012633625</v>
      </c>
      <c r="O18" s="203">
        <v>127.69480000000003</v>
      </c>
      <c r="P18" s="203">
        <v>156.64600000000002</v>
      </c>
      <c r="Q18" s="201">
        <v>128.98464646464649</v>
      </c>
      <c r="R18" s="201">
        <v>129.45950413223142</v>
      </c>
      <c r="S18" s="201">
        <v>28.694800000000029</v>
      </c>
      <c r="T18" s="201">
        <v>35.646000000000015</v>
      </c>
      <c r="U18" s="280" t="e">
        <f>'расчет по учреждениям'!#REF!</f>
        <v>#REF!</v>
      </c>
      <c r="V18" s="280" t="e">
        <f>'расчет по учреждениям'!#REF!</f>
        <v>#REF!</v>
      </c>
      <c r="W18" s="170" t="e">
        <f t="shared" si="1"/>
        <v>#REF!</v>
      </c>
      <c r="X18" s="205" t="e">
        <f t="shared" si="2"/>
        <v>#REF!</v>
      </c>
      <c r="Y18" s="192" t="e">
        <f t="shared" si="5"/>
        <v>#REF!</v>
      </c>
      <c r="Z18" s="192" t="e">
        <f t="shared" si="6"/>
        <v>#REF!</v>
      </c>
      <c r="AA18" s="180">
        <v>127.69480000000003</v>
      </c>
      <c r="AB18" s="180">
        <v>156.64600000000002</v>
      </c>
      <c r="AC18" s="170" t="e">
        <f>AA18/#REF!*100</f>
        <v>#REF!</v>
      </c>
      <c r="AD18" s="170" t="e">
        <f>AB18/#REF!*100</f>
        <v>#REF!</v>
      </c>
      <c r="AE18" s="172" t="e">
        <f>AA18-#REF!</f>
        <v>#REF!</v>
      </c>
      <c r="AF18" s="172" t="e">
        <f>AB18-#REF!</f>
        <v>#REF!</v>
      </c>
      <c r="AG18" s="180" t="e">
        <f>#REF!+0.134*#REF!</f>
        <v>#REF!</v>
      </c>
      <c r="AH18" s="180" t="e">
        <f>#REF!+0.134*#REF!</f>
        <v>#REF!</v>
      </c>
      <c r="AI18" s="170" t="e">
        <f>AG18/#REF!*100</f>
        <v>#REF!</v>
      </c>
      <c r="AJ18" s="170" t="e">
        <f>AH18/#REF!*100</f>
        <v>#REF!</v>
      </c>
      <c r="AK18" s="172" t="e">
        <f>AG18-#REF!</f>
        <v>#REF!</v>
      </c>
      <c r="AL18" s="172" t="e">
        <f>AH18-#REF!</f>
        <v>#REF!</v>
      </c>
    </row>
    <row r="19" spans="1:38" x14ac:dyDescent="0.25">
      <c r="A19" s="160">
        <v>13</v>
      </c>
      <c r="B19" s="161" t="s">
        <v>249</v>
      </c>
      <c r="C19" s="160">
        <v>73</v>
      </c>
      <c r="D19" s="160">
        <v>90</v>
      </c>
      <c r="E19" s="160">
        <f t="shared" si="4"/>
        <v>81</v>
      </c>
      <c r="F19" s="160">
        <f t="shared" si="0"/>
        <v>100</v>
      </c>
      <c r="G19" s="189">
        <v>90</v>
      </c>
      <c r="H19" s="189">
        <v>109</v>
      </c>
      <c r="I19" s="203">
        <v>117.42822302233627</v>
      </c>
      <c r="J19" s="203">
        <v>143.16277124633626</v>
      </c>
      <c r="K19" s="199">
        <v>130.47580335815141</v>
      </c>
      <c r="L19" s="199">
        <v>131.34199196911584</v>
      </c>
      <c r="M19" s="199">
        <v>27.428223022336269</v>
      </c>
      <c r="N19" s="199">
        <v>34.162771246336263</v>
      </c>
      <c r="O19" s="203">
        <v>114.82760000000003</v>
      </c>
      <c r="P19" s="203">
        <v>140.56200000000001</v>
      </c>
      <c r="Q19" s="199">
        <v>127.58622222222226</v>
      </c>
      <c r="R19" s="199">
        <v>128.95596330275231</v>
      </c>
      <c r="S19" s="199">
        <v>24.827600000000032</v>
      </c>
      <c r="T19" s="199">
        <v>31.562000000000012</v>
      </c>
      <c r="U19" s="280" t="e">
        <f>'расчет по учреждениям'!#REF!</f>
        <v>#REF!</v>
      </c>
      <c r="V19" s="280" t="e">
        <f>'расчет по учреждениям'!#REF!</f>
        <v>#REF!</v>
      </c>
      <c r="W19" s="170" t="e">
        <f t="shared" si="1"/>
        <v>#REF!</v>
      </c>
      <c r="X19" s="205" t="e">
        <f t="shared" si="2"/>
        <v>#REF!</v>
      </c>
      <c r="Y19" s="192" t="e">
        <f t="shared" si="5"/>
        <v>#REF!</v>
      </c>
      <c r="Z19" s="192" t="e">
        <f t="shared" si="6"/>
        <v>#REF!</v>
      </c>
      <c r="AA19" s="180">
        <v>114.82760000000003</v>
      </c>
      <c r="AB19" s="180">
        <v>140.56200000000001</v>
      </c>
      <c r="AC19" s="170" t="e">
        <f>AA19/#REF!*100</f>
        <v>#REF!</v>
      </c>
      <c r="AD19" s="170" t="e">
        <f>AB19/#REF!*100</f>
        <v>#REF!</v>
      </c>
      <c r="AE19" s="172" t="e">
        <f>AA19-#REF!</f>
        <v>#REF!</v>
      </c>
      <c r="AF19" s="172" t="e">
        <f>AB19-#REF!</f>
        <v>#REF!</v>
      </c>
      <c r="AG19" s="180" t="e">
        <f>#REF!+0.134*#REF!</f>
        <v>#REF!</v>
      </c>
      <c r="AH19" s="180" t="e">
        <f>#REF!+0.134*#REF!</f>
        <v>#REF!</v>
      </c>
      <c r="AI19" s="170" t="e">
        <f>AG19/#REF!*100</f>
        <v>#REF!</v>
      </c>
      <c r="AJ19" s="170" t="e">
        <f>AH19/#REF!*100</f>
        <v>#REF!</v>
      </c>
      <c r="AK19" s="172" t="e">
        <f>AG19-#REF!</f>
        <v>#REF!</v>
      </c>
      <c r="AL19" s="172" t="e">
        <f>AH19-#REF!</f>
        <v>#REF!</v>
      </c>
    </row>
    <row r="20" spans="1:38" ht="16.149999999999999" customHeight="1" x14ac:dyDescent="0.25">
      <c r="A20" s="160">
        <v>14</v>
      </c>
      <c r="B20" s="161" t="s">
        <v>250</v>
      </c>
      <c r="C20" s="160">
        <v>73</v>
      </c>
      <c r="D20" s="160">
        <v>90</v>
      </c>
      <c r="E20" s="160">
        <f t="shared" si="4"/>
        <v>81</v>
      </c>
      <c r="F20" s="160">
        <f t="shared" si="0"/>
        <v>100</v>
      </c>
      <c r="G20" s="189">
        <v>90</v>
      </c>
      <c r="H20" s="189">
        <v>109</v>
      </c>
      <c r="I20" s="203">
        <v>117.42822302233627</v>
      </c>
      <c r="J20" s="203">
        <v>143.16277124633626</v>
      </c>
      <c r="K20" s="199">
        <v>130.47580335815141</v>
      </c>
      <c r="L20" s="199">
        <v>131.34199196911584</v>
      </c>
      <c r="M20" s="199">
        <v>27.428223022336269</v>
      </c>
      <c r="N20" s="199">
        <v>34.162771246336263</v>
      </c>
      <c r="O20" s="203">
        <v>114.82760000000003</v>
      </c>
      <c r="P20" s="203">
        <v>140.56200000000001</v>
      </c>
      <c r="Q20" s="199">
        <v>127.58622222222226</v>
      </c>
      <c r="R20" s="199">
        <v>128.95596330275231</v>
      </c>
      <c r="S20" s="199">
        <v>24.827600000000032</v>
      </c>
      <c r="T20" s="199">
        <v>31.562000000000012</v>
      </c>
      <c r="U20" s="280" t="e">
        <f>'расчет по учреждениям'!#REF!</f>
        <v>#REF!</v>
      </c>
      <c r="V20" s="280" t="e">
        <f>'расчет по учреждениям'!#REF!</f>
        <v>#REF!</v>
      </c>
      <c r="W20" s="170" t="e">
        <f t="shared" si="1"/>
        <v>#REF!</v>
      </c>
      <c r="X20" s="205" t="e">
        <f t="shared" si="2"/>
        <v>#REF!</v>
      </c>
      <c r="Y20" s="192" t="e">
        <f t="shared" si="5"/>
        <v>#REF!</v>
      </c>
      <c r="Z20" s="192" t="e">
        <f t="shared" si="6"/>
        <v>#REF!</v>
      </c>
      <c r="AA20" s="180">
        <v>114.82760000000003</v>
      </c>
      <c r="AB20" s="180">
        <v>140.56200000000001</v>
      </c>
      <c r="AC20" s="170" t="e">
        <f>AA20/#REF!*100</f>
        <v>#REF!</v>
      </c>
      <c r="AD20" s="170" t="e">
        <f>AB20/#REF!*100</f>
        <v>#REF!</v>
      </c>
      <c r="AE20" s="172" t="e">
        <f>AA20-#REF!</f>
        <v>#REF!</v>
      </c>
      <c r="AF20" s="172" t="e">
        <f>AB20-#REF!</f>
        <v>#REF!</v>
      </c>
      <c r="AG20" s="180" t="e">
        <f>#REF!+0.134*#REF!</f>
        <v>#REF!</v>
      </c>
      <c r="AH20" s="180" t="e">
        <f>#REF!+0.134*#REF!</f>
        <v>#REF!</v>
      </c>
      <c r="AI20" s="170" t="e">
        <f>AG20/#REF!*100</f>
        <v>#REF!</v>
      </c>
      <c r="AJ20" s="170" t="e">
        <f>AH20/#REF!*100</f>
        <v>#REF!</v>
      </c>
      <c r="AK20" s="172" t="e">
        <f>AG20-#REF!</f>
        <v>#REF!</v>
      </c>
      <c r="AL20" s="172" t="e">
        <f>AH20-#REF!</f>
        <v>#REF!</v>
      </c>
    </row>
    <row r="21" spans="1:38" x14ac:dyDescent="0.25">
      <c r="A21" s="160">
        <v>15</v>
      </c>
      <c r="B21" s="161" t="s">
        <v>251</v>
      </c>
      <c r="C21" s="160">
        <v>73</v>
      </c>
      <c r="D21" s="160">
        <v>90</v>
      </c>
      <c r="E21" s="160">
        <f t="shared" si="4"/>
        <v>81</v>
      </c>
      <c r="F21" s="160">
        <f t="shared" si="0"/>
        <v>100</v>
      </c>
      <c r="G21" s="189">
        <v>90</v>
      </c>
      <c r="H21" s="189">
        <v>109</v>
      </c>
      <c r="I21" s="203">
        <v>117.42822302233627</v>
      </c>
      <c r="J21" s="203">
        <v>143.16277124633626</v>
      </c>
      <c r="K21" s="199">
        <v>130.47580335815141</v>
      </c>
      <c r="L21" s="199">
        <v>131.34199196911584</v>
      </c>
      <c r="M21" s="199">
        <v>27.428223022336269</v>
      </c>
      <c r="N21" s="199">
        <v>34.162771246336263</v>
      </c>
      <c r="O21" s="203">
        <v>114.82760000000003</v>
      </c>
      <c r="P21" s="203">
        <v>140.56200000000001</v>
      </c>
      <c r="Q21" s="199">
        <v>127.58622222222226</v>
      </c>
      <c r="R21" s="199">
        <v>128.95596330275231</v>
      </c>
      <c r="S21" s="199">
        <v>24.827600000000032</v>
      </c>
      <c r="T21" s="199">
        <v>31.562000000000012</v>
      </c>
      <c r="U21" s="280" t="e">
        <f>'расчет по учреждениям'!#REF!</f>
        <v>#REF!</v>
      </c>
      <c r="V21" s="280" t="e">
        <f>'расчет по учреждениям'!#REF!</f>
        <v>#REF!</v>
      </c>
      <c r="W21" s="170" t="e">
        <f t="shared" si="1"/>
        <v>#REF!</v>
      </c>
      <c r="X21" s="205" t="e">
        <f t="shared" si="2"/>
        <v>#REF!</v>
      </c>
      <c r="Y21" s="192" t="e">
        <f t="shared" si="5"/>
        <v>#REF!</v>
      </c>
      <c r="Z21" s="192" t="e">
        <f t="shared" si="6"/>
        <v>#REF!</v>
      </c>
      <c r="AA21" s="180">
        <v>114.82760000000003</v>
      </c>
      <c r="AB21" s="180">
        <v>140.56200000000001</v>
      </c>
      <c r="AC21" s="170" t="e">
        <f>AA21/#REF!*100</f>
        <v>#REF!</v>
      </c>
      <c r="AD21" s="170" t="e">
        <f>AB21/#REF!*100</f>
        <v>#REF!</v>
      </c>
      <c r="AE21" s="172" t="e">
        <f>AA21-#REF!</f>
        <v>#REF!</v>
      </c>
      <c r="AF21" s="172" t="e">
        <f>AB21-#REF!</f>
        <v>#REF!</v>
      </c>
      <c r="AG21" s="180" t="e">
        <f>#REF!+0.134*#REF!</f>
        <v>#REF!</v>
      </c>
      <c r="AH21" s="180" t="e">
        <f>#REF!+0.134*#REF!</f>
        <v>#REF!</v>
      </c>
      <c r="AI21" s="170" t="e">
        <f>AG21/#REF!*100</f>
        <v>#REF!</v>
      </c>
      <c r="AJ21" s="170" t="e">
        <f>AH21/#REF!*100</f>
        <v>#REF!</v>
      </c>
      <c r="AK21" s="172" t="e">
        <f>AG21-#REF!</f>
        <v>#REF!</v>
      </c>
      <c r="AL21" s="172" t="e">
        <f>AH21-#REF!</f>
        <v>#REF!</v>
      </c>
    </row>
    <row r="22" spans="1:38" x14ac:dyDescent="0.25">
      <c r="A22" s="160">
        <v>16</v>
      </c>
      <c r="B22" s="161" t="s">
        <v>252</v>
      </c>
      <c r="C22" s="160">
        <v>77</v>
      </c>
      <c r="D22" s="160">
        <v>94</v>
      </c>
      <c r="E22" s="160">
        <f t="shared" si="4"/>
        <v>86</v>
      </c>
      <c r="F22" s="160">
        <f t="shared" si="0"/>
        <v>104</v>
      </c>
      <c r="G22" s="189">
        <v>95</v>
      </c>
      <c r="H22" s="189">
        <v>114</v>
      </c>
      <c r="I22" s="203">
        <v>123.15822302233627</v>
      </c>
      <c r="J22" s="203">
        <v>143.16277124633626</v>
      </c>
      <c r="K22" s="199">
        <v>129.64023476035399</v>
      </c>
      <c r="L22" s="199">
        <v>125.58137828625988</v>
      </c>
      <c r="M22" s="199">
        <v>28.158223022336273</v>
      </c>
      <c r="N22" s="199">
        <v>29.162771246336263</v>
      </c>
      <c r="O22" s="203">
        <v>119.77760000000004</v>
      </c>
      <c r="P22" s="203">
        <v>145.51200000000003</v>
      </c>
      <c r="Q22" s="199">
        <v>126.08168421052635</v>
      </c>
      <c r="R22" s="199">
        <v>127.64210526315792</v>
      </c>
      <c r="S22" s="199">
        <v>24.777600000000035</v>
      </c>
      <c r="T22" s="199">
        <v>31.512000000000029</v>
      </c>
      <c r="U22" s="280" t="e">
        <f>'расчет по учреждениям'!#REF!</f>
        <v>#REF!</v>
      </c>
      <c r="V22" s="280" t="e">
        <f>'расчет по учреждениям'!#REF!</f>
        <v>#REF!</v>
      </c>
      <c r="W22" s="170" t="e">
        <f t="shared" si="1"/>
        <v>#REF!</v>
      </c>
      <c r="X22" s="205" t="e">
        <f t="shared" si="2"/>
        <v>#REF!</v>
      </c>
      <c r="Y22" s="192" t="e">
        <f t="shared" si="5"/>
        <v>#REF!</v>
      </c>
      <c r="Z22" s="192" t="e">
        <f t="shared" si="6"/>
        <v>#REF!</v>
      </c>
      <c r="AA22" s="180">
        <v>119.77760000000004</v>
      </c>
      <c r="AB22" s="180">
        <v>145.51200000000003</v>
      </c>
      <c r="AC22" s="170" t="e">
        <f>AA22/#REF!*100</f>
        <v>#REF!</v>
      </c>
      <c r="AD22" s="170" t="e">
        <f>AB22/#REF!*100</f>
        <v>#REF!</v>
      </c>
      <c r="AE22" s="172" t="e">
        <f>AA22-#REF!</f>
        <v>#REF!</v>
      </c>
      <c r="AF22" s="172" t="e">
        <f>AB22-#REF!</f>
        <v>#REF!</v>
      </c>
      <c r="AG22" s="180" t="e">
        <f>#REF!+0.134*#REF!</f>
        <v>#REF!</v>
      </c>
      <c r="AH22" s="180" t="e">
        <f>#REF!+0.134*#REF!</f>
        <v>#REF!</v>
      </c>
      <c r="AI22" s="170" t="e">
        <f>AG22/#REF!*100</f>
        <v>#REF!</v>
      </c>
      <c r="AJ22" s="170" t="e">
        <f>AH22/#REF!*100</f>
        <v>#REF!</v>
      </c>
      <c r="AK22" s="172" t="e">
        <f>AG22-#REF!</f>
        <v>#REF!</v>
      </c>
      <c r="AL22" s="172" t="e">
        <f>AH22-#REF!</f>
        <v>#REF!</v>
      </c>
    </row>
    <row r="23" spans="1:38" x14ac:dyDescent="0.25">
      <c r="A23" s="160">
        <v>17</v>
      </c>
      <c r="B23" s="161" t="s">
        <v>253</v>
      </c>
      <c r="C23" s="160">
        <v>77</v>
      </c>
      <c r="D23" s="160">
        <v>94</v>
      </c>
      <c r="E23" s="160">
        <f t="shared" si="4"/>
        <v>86</v>
      </c>
      <c r="F23" s="160">
        <f t="shared" si="0"/>
        <v>104</v>
      </c>
      <c r="G23" s="189">
        <v>95</v>
      </c>
      <c r="H23" s="189">
        <v>114</v>
      </c>
      <c r="I23" s="203">
        <v>123.15822302233627</v>
      </c>
      <c r="J23" s="203">
        <v>148.89277124633625</v>
      </c>
      <c r="K23" s="199">
        <v>129.64023476035399</v>
      </c>
      <c r="L23" s="199">
        <v>130.60769407573355</v>
      </c>
      <c r="M23" s="199">
        <v>28.158223022336273</v>
      </c>
      <c r="N23" s="199">
        <v>34.892771246336252</v>
      </c>
      <c r="O23" s="203">
        <v>119.77760000000004</v>
      </c>
      <c r="P23" s="203">
        <v>145.51200000000003</v>
      </c>
      <c r="Q23" s="199">
        <v>126.08168421052635</v>
      </c>
      <c r="R23" s="199">
        <v>127.64210526315792</v>
      </c>
      <c r="S23" s="199">
        <v>24.777600000000035</v>
      </c>
      <c r="T23" s="199">
        <v>31.512000000000029</v>
      </c>
      <c r="U23" s="280" t="e">
        <f>'расчет по учреждениям'!#REF!</f>
        <v>#REF!</v>
      </c>
      <c r="V23" s="280" t="e">
        <f>'расчет по учреждениям'!#REF!</f>
        <v>#REF!</v>
      </c>
      <c r="W23" s="170" t="e">
        <f t="shared" si="1"/>
        <v>#REF!</v>
      </c>
      <c r="X23" s="205" t="e">
        <f t="shared" si="2"/>
        <v>#REF!</v>
      </c>
      <c r="Y23" s="192" t="e">
        <f t="shared" si="5"/>
        <v>#REF!</v>
      </c>
      <c r="Z23" s="192" t="e">
        <f t="shared" si="6"/>
        <v>#REF!</v>
      </c>
      <c r="AA23" s="180">
        <v>119.77760000000004</v>
      </c>
      <c r="AB23" s="180">
        <v>145.51200000000003</v>
      </c>
      <c r="AC23" s="170" t="e">
        <f>AA23/#REF!*100</f>
        <v>#REF!</v>
      </c>
      <c r="AD23" s="170" t="e">
        <f>AB23/#REF!*100</f>
        <v>#REF!</v>
      </c>
      <c r="AE23" s="172" t="e">
        <f>AA23-#REF!</f>
        <v>#REF!</v>
      </c>
      <c r="AF23" s="172" t="e">
        <f>AB23-#REF!</f>
        <v>#REF!</v>
      </c>
      <c r="AG23" s="180" t="e">
        <f>#REF!+0.134*#REF!</f>
        <v>#REF!</v>
      </c>
      <c r="AH23" s="180" t="e">
        <f>#REF!+0.134*#REF!</f>
        <v>#REF!</v>
      </c>
      <c r="AI23" s="170" t="e">
        <f>AG23/#REF!*100</f>
        <v>#REF!</v>
      </c>
      <c r="AJ23" s="170" t="e">
        <f>AH23/#REF!*100</f>
        <v>#REF!</v>
      </c>
      <c r="AK23" s="172" t="e">
        <f>AG23-#REF!</f>
        <v>#REF!</v>
      </c>
      <c r="AL23" s="172" t="e">
        <f>AH23-#REF!</f>
        <v>#REF!</v>
      </c>
    </row>
    <row r="24" spans="1:38" x14ac:dyDescent="0.25">
      <c r="A24" s="160">
        <v>18</v>
      </c>
      <c r="B24" s="161" t="s">
        <v>258</v>
      </c>
      <c r="C24" s="160">
        <v>77</v>
      </c>
      <c r="D24" s="160">
        <v>94</v>
      </c>
      <c r="E24" s="160">
        <f t="shared" si="4"/>
        <v>86</v>
      </c>
      <c r="F24" s="160">
        <f t="shared" si="0"/>
        <v>104</v>
      </c>
      <c r="G24" s="189">
        <v>95</v>
      </c>
      <c r="H24" s="189">
        <v>114</v>
      </c>
      <c r="I24" s="203">
        <v>123.15822302233627</v>
      </c>
      <c r="J24" s="203">
        <v>148.89277124633625</v>
      </c>
      <c r="K24" s="199">
        <v>129.64023476035399</v>
      </c>
      <c r="L24" s="199">
        <v>130.60769407573355</v>
      </c>
      <c r="M24" s="199">
        <v>28.158223022336273</v>
      </c>
      <c r="N24" s="199">
        <v>34.892771246336252</v>
      </c>
      <c r="O24" s="203">
        <v>119.77760000000004</v>
      </c>
      <c r="P24" s="203">
        <v>145.51200000000003</v>
      </c>
      <c r="Q24" s="199">
        <v>126.08168421052635</v>
      </c>
      <c r="R24" s="199">
        <v>127.64210526315792</v>
      </c>
      <c r="S24" s="199">
        <v>24.777600000000035</v>
      </c>
      <c r="T24" s="199">
        <v>31.512000000000029</v>
      </c>
      <c r="U24" s="280" t="e">
        <f>'расчет по учреждениям'!#REF!</f>
        <v>#REF!</v>
      </c>
      <c r="V24" s="280" t="e">
        <f>'расчет по учреждениям'!#REF!</f>
        <v>#REF!</v>
      </c>
      <c r="W24" s="170" t="e">
        <f t="shared" si="1"/>
        <v>#REF!</v>
      </c>
      <c r="X24" s="205" t="e">
        <f t="shared" si="2"/>
        <v>#REF!</v>
      </c>
      <c r="Y24" s="192" t="e">
        <f t="shared" si="5"/>
        <v>#REF!</v>
      </c>
      <c r="Z24" s="192" t="e">
        <f t="shared" si="6"/>
        <v>#REF!</v>
      </c>
      <c r="AA24" s="180">
        <v>119.77760000000004</v>
      </c>
      <c r="AB24" s="180">
        <v>145.51200000000003</v>
      </c>
      <c r="AC24" s="170" t="e">
        <f>AA24/#REF!*100</f>
        <v>#REF!</v>
      </c>
      <c r="AD24" s="170" t="e">
        <f>AB24/#REF!*100</f>
        <v>#REF!</v>
      </c>
      <c r="AE24" s="172" t="e">
        <f>AA24-#REF!</f>
        <v>#REF!</v>
      </c>
      <c r="AF24" s="172" t="e">
        <f>AB24-#REF!</f>
        <v>#REF!</v>
      </c>
      <c r="AG24" s="180" t="e">
        <f>#REF!+0.134*#REF!</f>
        <v>#REF!</v>
      </c>
      <c r="AH24" s="180" t="e">
        <f>#REF!+0.134*#REF!</f>
        <v>#REF!</v>
      </c>
      <c r="AI24" s="170" t="e">
        <f>AG24/#REF!*100</f>
        <v>#REF!</v>
      </c>
      <c r="AJ24" s="170" t="e">
        <f>AH24/#REF!*100</f>
        <v>#REF!</v>
      </c>
      <c r="AK24" s="172" t="e">
        <f>AG24-#REF!</f>
        <v>#REF!</v>
      </c>
      <c r="AL24" s="172" t="e">
        <f>AH24-#REF!</f>
        <v>#REF!</v>
      </c>
    </row>
    <row r="25" spans="1:38" x14ac:dyDescent="0.25">
      <c r="A25" s="160">
        <v>19</v>
      </c>
      <c r="B25" s="161" t="s">
        <v>254</v>
      </c>
      <c r="C25" s="160">
        <v>73</v>
      </c>
      <c r="D25" s="160">
        <v>90</v>
      </c>
      <c r="E25" s="160">
        <f t="shared" si="4"/>
        <v>81</v>
      </c>
      <c r="F25" s="160">
        <f t="shared" si="0"/>
        <v>100</v>
      </c>
      <c r="G25" s="189">
        <v>90</v>
      </c>
      <c r="H25" s="189">
        <v>109</v>
      </c>
      <c r="I25" s="203">
        <v>117.42822302233627</v>
      </c>
      <c r="J25" s="203">
        <v>143.16277124633626</v>
      </c>
      <c r="K25" s="199">
        <v>130.47580335815141</v>
      </c>
      <c r="L25" s="199">
        <v>131.34199196911584</v>
      </c>
      <c r="M25" s="199">
        <v>27.428223022336269</v>
      </c>
      <c r="N25" s="199">
        <v>34.162771246336263</v>
      </c>
      <c r="O25" s="203">
        <v>114.82760000000003</v>
      </c>
      <c r="P25" s="203">
        <v>140.56200000000001</v>
      </c>
      <c r="Q25" s="199">
        <v>127.58622222222226</v>
      </c>
      <c r="R25" s="199">
        <v>128.95596330275231</v>
      </c>
      <c r="S25" s="199">
        <v>24.827600000000032</v>
      </c>
      <c r="T25" s="199">
        <v>31.562000000000012</v>
      </c>
      <c r="U25" s="280" t="e">
        <f>'расчет по учреждениям'!#REF!</f>
        <v>#REF!</v>
      </c>
      <c r="V25" s="280" t="e">
        <f>'расчет по учреждениям'!#REF!</f>
        <v>#REF!</v>
      </c>
      <c r="W25" s="170" t="e">
        <f t="shared" si="1"/>
        <v>#REF!</v>
      </c>
      <c r="X25" s="205" t="e">
        <f t="shared" si="2"/>
        <v>#REF!</v>
      </c>
      <c r="Y25" s="192" t="e">
        <f t="shared" si="5"/>
        <v>#REF!</v>
      </c>
      <c r="Z25" s="192" t="e">
        <f t="shared" si="6"/>
        <v>#REF!</v>
      </c>
      <c r="AA25" s="180">
        <v>114.82760000000003</v>
      </c>
      <c r="AB25" s="180">
        <v>140.56200000000001</v>
      </c>
      <c r="AC25" s="170" t="e">
        <f>AA25/#REF!*100</f>
        <v>#REF!</v>
      </c>
      <c r="AD25" s="170" t="e">
        <f>AB25/#REF!*100</f>
        <v>#REF!</v>
      </c>
      <c r="AE25" s="172" t="e">
        <f>AA25-#REF!</f>
        <v>#REF!</v>
      </c>
      <c r="AF25" s="172" t="e">
        <f>AB25-#REF!</f>
        <v>#REF!</v>
      </c>
      <c r="AG25" s="180" t="e">
        <f>#REF!+0.134*#REF!</f>
        <v>#REF!</v>
      </c>
      <c r="AH25" s="180" t="e">
        <f>#REF!+0.134*#REF!</f>
        <v>#REF!</v>
      </c>
      <c r="AI25" s="170" t="e">
        <f>AG25/#REF!*100</f>
        <v>#REF!</v>
      </c>
      <c r="AJ25" s="170" t="e">
        <f>AH25/#REF!*100</f>
        <v>#REF!</v>
      </c>
      <c r="AK25" s="172" t="e">
        <f>AG25-#REF!</f>
        <v>#REF!</v>
      </c>
      <c r="AL25" s="172" t="e">
        <f>AH25-#REF!</f>
        <v>#REF!</v>
      </c>
    </row>
    <row r="26" spans="1:38" x14ac:dyDescent="0.25">
      <c r="A26" s="160">
        <v>20</v>
      </c>
      <c r="B26" s="161" t="s">
        <v>255</v>
      </c>
      <c r="C26" s="160">
        <v>73</v>
      </c>
      <c r="D26" s="160">
        <v>90</v>
      </c>
      <c r="E26" s="160">
        <f t="shared" si="4"/>
        <v>81</v>
      </c>
      <c r="F26" s="160">
        <f t="shared" si="0"/>
        <v>100</v>
      </c>
      <c r="G26" s="189">
        <v>90</v>
      </c>
      <c r="H26" s="189">
        <v>109</v>
      </c>
      <c r="I26" s="203">
        <v>117.42822302233627</v>
      </c>
      <c r="J26" s="203">
        <v>143.16277124633626</v>
      </c>
      <c r="K26" s="199">
        <v>130.47580335815141</v>
      </c>
      <c r="L26" s="199">
        <v>131.34199196911584</v>
      </c>
      <c r="M26" s="199">
        <v>27.428223022336269</v>
      </c>
      <c r="N26" s="199">
        <v>34.162771246336263</v>
      </c>
      <c r="O26" s="203">
        <v>114.82760000000003</v>
      </c>
      <c r="P26" s="203">
        <v>140.56200000000001</v>
      </c>
      <c r="Q26" s="199">
        <v>127.58622222222226</v>
      </c>
      <c r="R26" s="199">
        <v>128.95596330275231</v>
      </c>
      <c r="S26" s="199">
        <v>24.827600000000032</v>
      </c>
      <c r="T26" s="199">
        <v>31.562000000000012</v>
      </c>
      <c r="U26" s="280" t="e">
        <f>'расчет по учреждениям'!#REF!</f>
        <v>#REF!</v>
      </c>
      <c r="V26" s="280" t="e">
        <f>'расчет по учреждениям'!#REF!</f>
        <v>#REF!</v>
      </c>
      <c r="W26" s="170" t="e">
        <f t="shared" si="1"/>
        <v>#REF!</v>
      </c>
      <c r="X26" s="205" t="e">
        <f t="shared" si="2"/>
        <v>#REF!</v>
      </c>
      <c r="Y26" s="192" t="e">
        <f t="shared" si="5"/>
        <v>#REF!</v>
      </c>
      <c r="Z26" s="192" t="e">
        <f t="shared" si="6"/>
        <v>#REF!</v>
      </c>
      <c r="AA26" s="180">
        <v>114.82760000000003</v>
      </c>
      <c r="AB26" s="180">
        <v>140.56200000000001</v>
      </c>
      <c r="AC26" s="170" t="e">
        <f>AA26/#REF!*100</f>
        <v>#REF!</v>
      </c>
      <c r="AD26" s="170" t="e">
        <f>AB26/#REF!*100</f>
        <v>#REF!</v>
      </c>
      <c r="AE26" s="172" t="e">
        <f>AA26-#REF!</f>
        <v>#REF!</v>
      </c>
      <c r="AF26" s="172" t="e">
        <f>AB26-#REF!</f>
        <v>#REF!</v>
      </c>
      <c r="AG26" s="180" t="e">
        <f>#REF!+0.134*#REF!</f>
        <v>#REF!</v>
      </c>
      <c r="AH26" s="180" t="e">
        <f>#REF!+0.134*#REF!</f>
        <v>#REF!</v>
      </c>
      <c r="AI26" s="170" t="e">
        <f>AG26/#REF!*100</f>
        <v>#REF!</v>
      </c>
      <c r="AJ26" s="170" t="e">
        <f>AH26/#REF!*100</f>
        <v>#REF!</v>
      </c>
      <c r="AK26" s="172" t="e">
        <f>AG26-#REF!</f>
        <v>#REF!</v>
      </c>
      <c r="AL26" s="172" t="e">
        <f>AH26-#REF!</f>
        <v>#REF!</v>
      </c>
    </row>
    <row r="27" spans="1:38" x14ac:dyDescent="0.25">
      <c r="A27" s="189">
        <v>21</v>
      </c>
      <c r="B27" s="190" t="s">
        <v>75</v>
      </c>
      <c r="C27" s="189">
        <v>73</v>
      </c>
      <c r="D27" s="189">
        <v>90</v>
      </c>
      <c r="E27" s="189">
        <f t="shared" si="4"/>
        <v>81</v>
      </c>
      <c r="F27" s="189">
        <f t="shared" si="0"/>
        <v>100</v>
      </c>
      <c r="G27" s="189">
        <v>90</v>
      </c>
      <c r="H27" s="189">
        <v>109</v>
      </c>
      <c r="I27" s="203">
        <v>117.42822302233627</v>
      </c>
      <c r="J27" s="203">
        <v>143.16277124633626</v>
      </c>
      <c r="K27" s="199">
        <v>130.47580335815141</v>
      </c>
      <c r="L27" s="199">
        <v>131.34199196911584</v>
      </c>
      <c r="M27" s="199">
        <v>27.428223022336269</v>
      </c>
      <c r="N27" s="199">
        <v>34.162771246336263</v>
      </c>
      <c r="O27" s="203">
        <v>114.82760000000003</v>
      </c>
      <c r="P27" s="203">
        <v>140.56200000000001</v>
      </c>
      <c r="Q27" s="199">
        <v>127.58622222222226</v>
      </c>
      <c r="R27" s="199">
        <v>128.95596330275231</v>
      </c>
      <c r="S27" s="199">
        <v>24.827600000000032</v>
      </c>
      <c r="T27" s="199">
        <v>31.562000000000012</v>
      </c>
      <c r="U27" s="281" t="e">
        <f>'расчет по учреждениям'!#REF!</f>
        <v>#REF!</v>
      </c>
      <c r="V27" s="281" t="e">
        <f>'расчет по учреждениям'!#REF!</f>
        <v>#REF!</v>
      </c>
      <c r="W27" s="170" t="e">
        <f t="shared" si="1"/>
        <v>#REF!</v>
      </c>
      <c r="X27" s="205" t="e">
        <f t="shared" si="2"/>
        <v>#REF!</v>
      </c>
      <c r="Y27" s="192" t="e">
        <f t="shared" si="5"/>
        <v>#REF!</v>
      </c>
      <c r="Z27" s="192" t="e">
        <f t="shared" si="6"/>
        <v>#REF!</v>
      </c>
      <c r="AA27" s="183">
        <v>114.82760000000003</v>
      </c>
      <c r="AB27" s="183">
        <v>140.56200000000001</v>
      </c>
      <c r="AC27" s="184" t="e">
        <f>AA27/#REF!*100</f>
        <v>#REF!</v>
      </c>
      <c r="AD27" s="184" t="e">
        <f>AB27/#REF!*100</f>
        <v>#REF!</v>
      </c>
      <c r="AE27" s="185" t="e">
        <f>AA27-#REF!</f>
        <v>#REF!</v>
      </c>
      <c r="AF27" s="185" t="e">
        <f>AB27-#REF!</f>
        <v>#REF!</v>
      </c>
      <c r="AG27" s="180" t="e">
        <f>#REF!+0.134*#REF!</f>
        <v>#REF!</v>
      </c>
      <c r="AH27" s="180" t="e">
        <f>#REF!+0.134*#REF!</f>
        <v>#REF!</v>
      </c>
      <c r="AI27" s="184" t="e">
        <f>AG27/#REF!*100</f>
        <v>#REF!</v>
      </c>
      <c r="AJ27" s="184" t="e">
        <f>AH27/#REF!*100</f>
        <v>#REF!</v>
      </c>
      <c r="AK27" s="185" t="e">
        <f>AG27-#REF!</f>
        <v>#REF!</v>
      </c>
      <c r="AL27" s="185" t="e">
        <f>AH27-#REF!</f>
        <v>#REF!</v>
      </c>
    </row>
    <row r="28" spans="1:38" x14ac:dyDescent="0.25">
      <c r="A28" s="189">
        <v>22</v>
      </c>
      <c r="B28" s="190" t="s">
        <v>76</v>
      </c>
      <c r="C28" s="189">
        <v>73</v>
      </c>
      <c r="D28" s="189">
        <v>90</v>
      </c>
      <c r="E28" s="189">
        <f t="shared" si="4"/>
        <v>81</v>
      </c>
      <c r="F28" s="189">
        <f t="shared" si="0"/>
        <v>100</v>
      </c>
      <c r="G28" s="189">
        <v>90</v>
      </c>
      <c r="H28" s="189">
        <v>109</v>
      </c>
      <c r="I28" s="203">
        <v>117.42822302233627</v>
      </c>
      <c r="J28" s="203">
        <v>143.16277124633626</v>
      </c>
      <c r="K28" s="199">
        <v>130.47580335815141</v>
      </c>
      <c r="L28" s="199">
        <v>131.34199196911584</v>
      </c>
      <c r="M28" s="199">
        <v>27.428223022336269</v>
      </c>
      <c r="N28" s="199">
        <v>34.162771246336263</v>
      </c>
      <c r="O28" s="203">
        <v>114.82760000000003</v>
      </c>
      <c r="P28" s="203">
        <v>140.56200000000001</v>
      </c>
      <c r="Q28" s="199">
        <v>127.58622222222226</v>
      </c>
      <c r="R28" s="199">
        <v>128.95596330275231</v>
      </c>
      <c r="S28" s="199">
        <v>24.827600000000032</v>
      </c>
      <c r="T28" s="199">
        <v>31.562000000000012</v>
      </c>
      <c r="U28" s="281" t="e">
        <f>'расчет по учреждениям'!#REF!</f>
        <v>#REF!</v>
      </c>
      <c r="V28" s="281" t="e">
        <f>'расчет по учреждениям'!#REF!</f>
        <v>#REF!</v>
      </c>
      <c r="W28" s="170" t="e">
        <f t="shared" si="1"/>
        <v>#REF!</v>
      </c>
      <c r="X28" s="205" t="e">
        <f t="shared" si="2"/>
        <v>#REF!</v>
      </c>
      <c r="Y28" s="192" t="e">
        <f t="shared" si="5"/>
        <v>#REF!</v>
      </c>
      <c r="Z28" s="192" t="e">
        <f t="shared" si="6"/>
        <v>#REF!</v>
      </c>
      <c r="AA28" s="183">
        <v>114.82760000000003</v>
      </c>
      <c r="AB28" s="183">
        <v>140.56200000000001</v>
      </c>
      <c r="AC28" s="184" t="e">
        <f>AA28/#REF!*100</f>
        <v>#REF!</v>
      </c>
      <c r="AD28" s="184" t="e">
        <f>AB28/#REF!*100</f>
        <v>#REF!</v>
      </c>
      <c r="AE28" s="185" t="e">
        <f>AA28-#REF!</f>
        <v>#REF!</v>
      </c>
      <c r="AF28" s="185" t="e">
        <f>AB28-#REF!</f>
        <v>#REF!</v>
      </c>
      <c r="AG28" s="180" t="e">
        <f>#REF!+0.134*#REF!</f>
        <v>#REF!</v>
      </c>
      <c r="AH28" s="180" t="e">
        <f>#REF!+0.134*#REF!</f>
        <v>#REF!</v>
      </c>
      <c r="AI28" s="184" t="e">
        <f>AG28/#REF!*100</f>
        <v>#REF!</v>
      </c>
      <c r="AJ28" s="184" t="e">
        <f>AH28/#REF!*100</f>
        <v>#REF!</v>
      </c>
      <c r="AK28" s="185" t="e">
        <f>AG28-#REF!</f>
        <v>#REF!</v>
      </c>
      <c r="AL28" s="185" t="e">
        <f>AH28-#REF!</f>
        <v>#REF!</v>
      </c>
    </row>
    <row r="29" spans="1:38" x14ac:dyDescent="0.25">
      <c r="A29" s="189">
        <v>23</v>
      </c>
      <c r="B29" s="190" t="s">
        <v>77</v>
      </c>
      <c r="C29" s="189">
        <v>73</v>
      </c>
      <c r="D29" s="189">
        <v>90</v>
      </c>
      <c r="E29" s="189">
        <f t="shared" si="4"/>
        <v>81</v>
      </c>
      <c r="F29" s="189">
        <f t="shared" si="0"/>
        <v>100</v>
      </c>
      <c r="G29" s="189">
        <v>90</v>
      </c>
      <c r="H29" s="189">
        <v>109</v>
      </c>
      <c r="I29" s="203">
        <v>117.42822302233627</v>
      </c>
      <c r="J29" s="203">
        <v>143.16277124633626</v>
      </c>
      <c r="K29" s="199">
        <v>130.47580335815141</v>
      </c>
      <c r="L29" s="199">
        <v>131.34199196911584</v>
      </c>
      <c r="M29" s="199">
        <v>27.428223022336269</v>
      </c>
      <c r="N29" s="199">
        <v>34.162771246336263</v>
      </c>
      <c r="O29" s="203">
        <v>114.82760000000003</v>
      </c>
      <c r="P29" s="203">
        <v>140.56200000000001</v>
      </c>
      <c r="Q29" s="199">
        <v>127.58622222222226</v>
      </c>
      <c r="R29" s="199">
        <v>128.95596330275231</v>
      </c>
      <c r="S29" s="199">
        <v>24.827600000000032</v>
      </c>
      <c r="T29" s="199">
        <v>31.562000000000012</v>
      </c>
      <c r="U29" s="281" t="e">
        <f>'расчет по учреждениям'!#REF!</f>
        <v>#REF!</v>
      </c>
      <c r="V29" s="281" t="e">
        <f>'расчет по учреждениям'!#REF!</f>
        <v>#REF!</v>
      </c>
      <c r="W29" s="170" t="e">
        <f t="shared" si="1"/>
        <v>#REF!</v>
      </c>
      <c r="X29" s="205" t="e">
        <f t="shared" si="2"/>
        <v>#REF!</v>
      </c>
      <c r="Y29" s="192" t="e">
        <f t="shared" si="5"/>
        <v>#REF!</v>
      </c>
      <c r="Z29" s="192" t="e">
        <f t="shared" si="6"/>
        <v>#REF!</v>
      </c>
      <c r="AA29" s="183">
        <v>114.82760000000003</v>
      </c>
      <c r="AB29" s="183">
        <v>140.56200000000001</v>
      </c>
      <c r="AC29" s="184" t="e">
        <f>AA29/#REF!*100</f>
        <v>#REF!</v>
      </c>
      <c r="AD29" s="184" t="e">
        <f>AB29/#REF!*100</f>
        <v>#REF!</v>
      </c>
      <c r="AE29" s="185" t="e">
        <f>AA29-#REF!</f>
        <v>#REF!</v>
      </c>
      <c r="AF29" s="185" t="e">
        <f>AB29-#REF!</f>
        <v>#REF!</v>
      </c>
      <c r="AG29" s="180" t="e">
        <f>#REF!+0.134*#REF!</f>
        <v>#REF!</v>
      </c>
      <c r="AH29" s="180" t="e">
        <f>#REF!+0.134*#REF!</f>
        <v>#REF!</v>
      </c>
      <c r="AI29" s="184" t="e">
        <f>AG29/#REF!*100</f>
        <v>#REF!</v>
      </c>
      <c r="AJ29" s="184" t="e">
        <f>AH29/#REF!*100</f>
        <v>#REF!</v>
      </c>
      <c r="AK29" s="185" t="e">
        <f>AG29-#REF!</f>
        <v>#REF!</v>
      </c>
      <c r="AL29" s="185" t="e">
        <f>AH29-#REF!</f>
        <v>#REF!</v>
      </c>
    </row>
    <row r="30" spans="1:38" x14ac:dyDescent="0.25">
      <c r="A30" s="189">
        <v>24</v>
      </c>
      <c r="B30" s="190" t="s">
        <v>78</v>
      </c>
      <c r="C30" s="189">
        <v>73</v>
      </c>
      <c r="D30" s="189">
        <v>90</v>
      </c>
      <c r="E30" s="189">
        <f t="shared" si="4"/>
        <v>81</v>
      </c>
      <c r="F30" s="189">
        <f t="shared" si="0"/>
        <v>100</v>
      </c>
      <c r="G30" s="189">
        <v>90</v>
      </c>
      <c r="H30" s="189">
        <v>109</v>
      </c>
      <c r="I30" s="203">
        <v>117.42822302233627</v>
      </c>
      <c r="J30" s="203">
        <v>143.16277124633626</v>
      </c>
      <c r="K30" s="199">
        <v>130.47580335815141</v>
      </c>
      <c r="L30" s="199">
        <v>131.34199196911584</v>
      </c>
      <c r="M30" s="199">
        <v>27.428223022336269</v>
      </c>
      <c r="N30" s="199">
        <v>34.162771246336263</v>
      </c>
      <c r="O30" s="203">
        <v>114.82760000000003</v>
      </c>
      <c r="P30" s="203">
        <v>140.56200000000001</v>
      </c>
      <c r="Q30" s="199">
        <v>127.58622222222226</v>
      </c>
      <c r="R30" s="199">
        <v>128.95596330275231</v>
      </c>
      <c r="S30" s="199">
        <v>24.827600000000032</v>
      </c>
      <c r="T30" s="199">
        <v>31.562000000000012</v>
      </c>
      <c r="U30" s="281" t="e">
        <f>'расчет по учреждениям'!#REF!</f>
        <v>#REF!</v>
      </c>
      <c r="V30" s="281" t="e">
        <f>'расчет по учреждениям'!#REF!</f>
        <v>#REF!</v>
      </c>
      <c r="W30" s="170" t="e">
        <f t="shared" si="1"/>
        <v>#REF!</v>
      </c>
      <c r="X30" s="205" t="e">
        <f t="shared" si="2"/>
        <v>#REF!</v>
      </c>
      <c r="Y30" s="192" t="e">
        <f t="shared" si="5"/>
        <v>#REF!</v>
      </c>
      <c r="Z30" s="192" t="e">
        <f t="shared" si="6"/>
        <v>#REF!</v>
      </c>
      <c r="AA30" s="183">
        <v>114.82760000000003</v>
      </c>
      <c r="AB30" s="183">
        <v>140.56200000000001</v>
      </c>
      <c r="AC30" s="184" t="e">
        <f>AA30/#REF!*100</f>
        <v>#REF!</v>
      </c>
      <c r="AD30" s="184" t="e">
        <f>AB30/#REF!*100</f>
        <v>#REF!</v>
      </c>
      <c r="AE30" s="185" t="e">
        <f>AA30-#REF!</f>
        <v>#REF!</v>
      </c>
      <c r="AF30" s="185" t="e">
        <f>AB30-#REF!</f>
        <v>#REF!</v>
      </c>
      <c r="AG30" s="180" t="e">
        <f>#REF!+0.134*#REF!</f>
        <v>#REF!</v>
      </c>
      <c r="AH30" s="180" t="e">
        <f>#REF!+0.134*#REF!</f>
        <v>#REF!</v>
      </c>
      <c r="AI30" s="184" t="e">
        <f>AG30/#REF!*100</f>
        <v>#REF!</v>
      </c>
      <c r="AJ30" s="184" t="e">
        <f>AH30/#REF!*100</f>
        <v>#REF!</v>
      </c>
      <c r="AK30" s="185" t="e">
        <f>AG30-#REF!</f>
        <v>#REF!</v>
      </c>
      <c r="AL30" s="185" t="e">
        <f>AH30-#REF!</f>
        <v>#REF!</v>
      </c>
    </row>
    <row r="31" spans="1:38" x14ac:dyDescent="0.25">
      <c r="A31" s="189">
        <v>25</v>
      </c>
      <c r="B31" s="190" t="s">
        <v>79</v>
      </c>
      <c r="C31" s="189">
        <v>73</v>
      </c>
      <c r="D31" s="189">
        <v>90</v>
      </c>
      <c r="E31" s="189">
        <f t="shared" si="4"/>
        <v>81</v>
      </c>
      <c r="F31" s="189">
        <f t="shared" si="0"/>
        <v>100</v>
      </c>
      <c r="G31" s="189">
        <v>90</v>
      </c>
      <c r="H31" s="189">
        <v>109</v>
      </c>
      <c r="I31" s="203">
        <v>117.42822302233627</v>
      </c>
      <c r="J31" s="203">
        <v>143.16277124633626</v>
      </c>
      <c r="K31" s="199">
        <v>130.47580335815141</v>
      </c>
      <c r="L31" s="199">
        <v>131.34199196911584</v>
      </c>
      <c r="M31" s="199">
        <v>27.428223022336269</v>
      </c>
      <c r="N31" s="199">
        <v>34.162771246336263</v>
      </c>
      <c r="O31" s="203">
        <v>114.82760000000003</v>
      </c>
      <c r="P31" s="203">
        <v>140.56200000000001</v>
      </c>
      <c r="Q31" s="199">
        <v>127.58622222222226</v>
      </c>
      <c r="R31" s="199">
        <v>128.95596330275231</v>
      </c>
      <c r="S31" s="199">
        <v>24.827600000000032</v>
      </c>
      <c r="T31" s="199">
        <v>31.562000000000012</v>
      </c>
      <c r="U31" s="281" t="e">
        <f>'расчет по учреждениям'!#REF!</f>
        <v>#REF!</v>
      </c>
      <c r="V31" s="281" t="e">
        <f>'расчет по учреждениям'!#REF!</f>
        <v>#REF!</v>
      </c>
      <c r="W31" s="170" t="e">
        <f t="shared" si="1"/>
        <v>#REF!</v>
      </c>
      <c r="X31" s="205" t="e">
        <f t="shared" si="2"/>
        <v>#REF!</v>
      </c>
      <c r="Y31" s="192" t="e">
        <f t="shared" si="5"/>
        <v>#REF!</v>
      </c>
      <c r="Z31" s="192" t="e">
        <f t="shared" si="6"/>
        <v>#REF!</v>
      </c>
      <c r="AA31" s="183">
        <v>114.82760000000003</v>
      </c>
      <c r="AB31" s="183">
        <v>140.56200000000001</v>
      </c>
      <c r="AC31" s="184" t="e">
        <f>AA31/#REF!*100</f>
        <v>#REF!</v>
      </c>
      <c r="AD31" s="184" t="e">
        <f>AB31/#REF!*100</f>
        <v>#REF!</v>
      </c>
      <c r="AE31" s="185" t="e">
        <f>AA31-#REF!</f>
        <v>#REF!</v>
      </c>
      <c r="AF31" s="185" t="e">
        <f>AB31-#REF!</f>
        <v>#REF!</v>
      </c>
      <c r="AG31" s="180" t="e">
        <f>#REF!+0.134*#REF!</f>
        <v>#REF!</v>
      </c>
      <c r="AH31" s="180" t="e">
        <f>#REF!+0.134*#REF!</f>
        <v>#REF!</v>
      </c>
      <c r="AI31" s="184" t="e">
        <f>AG31/#REF!*100</f>
        <v>#REF!</v>
      </c>
      <c r="AJ31" s="184" t="e">
        <f>AH31/#REF!*100</f>
        <v>#REF!</v>
      </c>
      <c r="AK31" s="185" t="e">
        <f>AG31-#REF!</f>
        <v>#REF!</v>
      </c>
      <c r="AL31" s="185" t="e">
        <f>AH31-#REF!</f>
        <v>#REF!</v>
      </c>
    </row>
    <row r="32" spans="1:38" ht="43.5" customHeight="1" x14ac:dyDescent="0.25">
      <c r="A32" s="418" t="s">
        <v>265</v>
      </c>
      <c r="B32" s="419"/>
      <c r="C32" s="189"/>
      <c r="D32" s="189"/>
      <c r="E32" s="189"/>
      <c r="F32" s="189"/>
      <c r="G32" s="189">
        <v>96.12</v>
      </c>
      <c r="H32" s="189">
        <v>116.52</v>
      </c>
      <c r="I32" s="203">
        <v>125.56783521242929</v>
      </c>
      <c r="J32" s="203">
        <v>152.6466660757894</v>
      </c>
      <c r="K32" s="199">
        <v>130.61508106304603</v>
      </c>
      <c r="L32" s="199">
        <v>131.00254925544758</v>
      </c>
      <c r="M32" s="199">
        <v>29.447835212429336</v>
      </c>
      <c r="N32" s="199">
        <v>36.126666075789302</v>
      </c>
      <c r="O32" s="203">
        <v>122.71652800000005</v>
      </c>
      <c r="P32" s="203">
        <v>150.02715999999998</v>
      </c>
      <c r="Q32" s="199">
        <v>127.64562813054116</v>
      </c>
      <c r="R32" s="199">
        <v>128.75389326779435</v>
      </c>
      <c r="S32" s="199">
        <v>26.596528000000038</v>
      </c>
      <c r="T32" s="199">
        <v>33.50716000000002</v>
      </c>
      <c r="U32" s="281" t="e">
        <f>AVERAGE(U7:U31)</f>
        <v>#REF!</v>
      </c>
      <c r="V32" s="281" t="e">
        <f t="shared" ref="V32:AL32" si="7">AVERAGE(V7:V31)</f>
        <v>#REF!</v>
      </c>
      <c r="W32" s="184" t="e">
        <f t="shared" si="1"/>
        <v>#REF!</v>
      </c>
      <c r="X32" s="206" t="e">
        <f t="shared" si="2"/>
        <v>#REF!</v>
      </c>
      <c r="Y32" s="193" t="e">
        <f t="shared" si="5"/>
        <v>#REF!</v>
      </c>
      <c r="Z32" s="193" t="e">
        <f t="shared" si="6"/>
        <v>#REF!</v>
      </c>
      <c r="AA32" s="183">
        <f t="shared" si="7"/>
        <v>117.97351708277374</v>
      </c>
      <c r="AB32" s="183">
        <f t="shared" si="7"/>
        <v>142.98265115529117</v>
      </c>
      <c r="AC32" s="188" t="e">
        <f t="shared" si="7"/>
        <v>#REF!</v>
      </c>
      <c r="AD32" s="188" t="e">
        <f t="shared" si="7"/>
        <v>#REF!</v>
      </c>
      <c r="AE32" s="188" t="e">
        <f t="shared" si="7"/>
        <v>#REF!</v>
      </c>
      <c r="AF32" s="188" t="e">
        <f t="shared" si="7"/>
        <v>#REF!</v>
      </c>
      <c r="AG32" s="180" t="e">
        <f>#REF!+0.134*#REF!</f>
        <v>#REF!</v>
      </c>
      <c r="AH32" s="180" t="e">
        <f>#REF!+0.134*#REF!</f>
        <v>#REF!</v>
      </c>
      <c r="AI32" s="188" t="e">
        <f t="shared" si="7"/>
        <v>#REF!</v>
      </c>
      <c r="AJ32" s="188" t="e">
        <f t="shared" si="7"/>
        <v>#REF!</v>
      </c>
      <c r="AK32" s="188" t="e">
        <f t="shared" si="7"/>
        <v>#REF!</v>
      </c>
      <c r="AL32" s="188" t="e">
        <f t="shared" si="7"/>
        <v>#REF!</v>
      </c>
    </row>
    <row r="33" spans="1:38" ht="17.25" customHeight="1" x14ac:dyDescent="0.25">
      <c r="A33" s="186" t="s">
        <v>230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282"/>
      <c r="V33" s="283"/>
      <c r="W33" s="208"/>
      <c r="X33" s="209"/>
      <c r="Y33" s="210"/>
      <c r="Z33" s="210"/>
      <c r="AA33" s="187"/>
      <c r="AB33" s="187"/>
      <c r="AC33" s="187"/>
      <c r="AD33" s="187"/>
      <c r="AE33" s="187"/>
      <c r="AF33" s="187"/>
      <c r="AG33" s="182"/>
      <c r="AH33" s="182"/>
      <c r="AI33" s="187"/>
      <c r="AJ33" s="187"/>
      <c r="AK33" s="187"/>
      <c r="AL33" s="187"/>
    </row>
    <row r="34" spans="1:38" ht="29.25" customHeight="1" x14ac:dyDescent="0.25">
      <c r="A34" s="176">
        <v>1</v>
      </c>
      <c r="B34" s="164" t="s">
        <v>214</v>
      </c>
      <c r="C34" s="165"/>
      <c r="D34" s="165"/>
      <c r="E34" s="165"/>
      <c r="F34" s="165"/>
      <c r="G34" s="198">
        <v>28</v>
      </c>
      <c r="H34" s="198">
        <v>34</v>
      </c>
      <c r="I34" s="204">
        <v>39.972675494914157</v>
      </c>
      <c r="J34" s="204">
        <v>47.692995494914157</v>
      </c>
      <c r="K34" s="202">
        <v>142.75955533897914</v>
      </c>
      <c r="L34" s="202">
        <v>140.27351616151222</v>
      </c>
      <c r="M34" s="202">
        <v>11.972675494914157</v>
      </c>
      <c r="N34" s="202">
        <v>13.692995494914157</v>
      </c>
      <c r="O34" s="204">
        <v>27.9572</v>
      </c>
      <c r="P34" s="204">
        <v>33.793999999999997</v>
      </c>
      <c r="Q34" s="202">
        <v>99.847142857142856</v>
      </c>
      <c r="R34" s="202">
        <v>99.394117647058806</v>
      </c>
      <c r="S34" s="202">
        <v>-4.2799999999999727E-2</v>
      </c>
      <c r="T34" s="202">
        <v>-0.20600000000000307</v>
      </c>
      <c r="U34" s="280">
        <f>'кр-вр преб по учрежд'!R15</f>
        <v>37.997177071781238</v>
      </c>
      <c r="V34" s="281">
        <f>'кр-вр преб по учрежд'!S15</f>
        <v>45.934881336634675</v>
      </c>
      <c r="W34" s="184">
        <f t="shared" ref="W34:W42" si="8">U34/G34*100</f>
        <v>135.70420382779014</v>
      </c>
      <c r="X34" s="206">
        <f t="shared" ref="X34:X42" si="9">V34/H34*100</f>
        <v>135.10259216657258</v>
      </c>
      <c r="Y34" s="193">
        <f t="shared" ref="Y34:Y42" si="10">U34-G34</f>
        <v>9.9971770717812376</v>
      </c>
      <c r="Z34" s="193">
        <f t="shared" ref="Z34:Z42" si="11">V34-H34</f>
        <v>11.934881336634675</v>
      </c>
      <c r="AA34" s="180">
        <v>27.9572</v>
      </c>
      <c r="AB34" s="180">
        <v>33.793999999999997</v>
      </c>
      <c r="AC34" s="170" t="e">
        <f>AA34/#REF!*100</f>
        <v>#REF!</v>
      </c>
      <c r="AD34" s="170" t="e">
        <f>AB34/#REF!*100</f>
        <v>#REF!</v>
      </c>
      <c r="AE34" s="172" t="e">
        <f>AA34-#REF!</f>
        <v>#REF!</v>
      </c>
      <c r="AF34" s="172" t="e">
        <f>AB34-#REF!</f>
        <v>#REF!</v>
      </c>
      <c r="AG34" s="180" t="e">
        <f>#REF!+0.134*#REF!</f>
        <v>#REF!</v>
      </c>
      <c r="AH34" s="180" t="e">
        <f>#REF!+0.134*#REF!</f>
        <v>#REF!</v>
      </c>
      <c r="AI34" s="170" t="e">
        <f>AG34/#REF!*100</f>
        <v>#REF!</v>
      </c>
      <c r="AJ34" s="170" t="e">
        <f>AH34/#REF!*100</f>
        <v>#REF!</v>
      </c>
      <c r="AK34" s="185" t="e">
        <f>AG34-#REF!</f>
        <v>#REF!</v>
      </c>
      <c r="AL34" s="185" t="e">
        <f>AH34-#REF!</f>
        <v>#REF!</v>
      </c>
    </row>
    <row r="35" spans="1:38" ht="30" x14ac:dyDescent="0.25">
      <c r="A35" s="176">
        <v>2</v>
      </c>
      <c r="B35" s="164" t="s">
        <v>231</v>
      </c>
      <c r="C35" s="165"/>
      <c r="D35" s="165"/>
      <c r="E35" s="165"/>
      <c r="F35" s="165"/>
      <c r="G35" s="198">
        <v>9</v>
      </c>
      <c r="H35" s="198">
        <v>11</v>
      </c>
      <c r="I35" s="204">
        <v>15.524995494914158</v>
      </c>
      <c r="J35" s="204">
        <v>17.133395494914158</v>
      </c>
      <c r="K35" s="202">
        <v>172.49994994349066</v>
      </c>
      <c r="L35" s="202">
        <v>155.75814086285598</v>
      </c>
      <c r="M35" s="202">
        <v>6.5249954949141582</v>
      </c>
      <c r="N35" s="202">
        <v>6.1333954949141578</v>
      </c>
      <c r="O35" s="204">
        <v>9.4740000000000002</v>
      </c>
      <c r="P35" s="204">
        <v>10.690000000000001</v>
      </c>
      <c r="Q35" s="202">
        <v>105.26666666666667</v>
      </c>
      <c r="R35" s="202">
        <v>97.181818181818187</v>
      </c>
      <c r="S35" s="202">
        <v>0.4740000000000002</v>
      </c>
      <c r="T35" s="202">
        <v>-0.30999999999999872</v>
      </c>
      <c r="U35" s="280">
        <f>'кр-вр преб по учрежд'!R24</f>
        <v>12.861113566412065</v>
      </c>
      <c r="V35" s="280">
        <f>'кр-вр преб по учрежд'!S24</f>
        <v>14.514801954923195</v>
      </c>
      <c r="W35" s="170">
        <f t="shared" si="8"/>
        <v>142.90126184902294</v>
      </c>
      <c r="X35" s="205">
        <f t="shared" si="9"/>
        <v>131.95274504475631</v>
      </c>
      <c r="Y35" s="192">
        <f t="shared" si="10"/>
        <v>3.8611135664120653</v>
      </c>
      <c r="Z35" s="192">
        <f t="shared" si="11"/>
        <v>3.514801954923195</v>
      </c>
      <c r="AA35" s="180">
        <v>9.4740000000000002</v>
      </c>
      <c r="AB35" s="180">
        <v>10.690000000000001</v>
      </c>
      <c r="AC35" s="170" t="e">
        <f>AA35/#REF!*100</f>
        <v>#REF!</v>
      </c>
      <c r="AD35" s="170" t="e">
        <f>AB35/#REF!*100</f>
        <v>#REF!</v>
      </c>
      <c r="AE35" s="172" t="e">
        <f>AA35-#REF!</f>
        <v>#REF!</v>
      </c>
      <c r="AF35" s="172" t="e">
        <f>AB35-#REF!</f>
        <v>#REF!</v>
      </c>
      <c r="AG35" s="180" t="e">
        <f>#REF!+0.134*#REF!</f>
        <v>#REF!</v>
      </c>
      <c r="AH35" s="180" t="e">
        <f>#REF!+0.134*#REF!</f>
        <v>#REF!</v>
      </c>
      <c r="AI35" s="170" t="e">
        <f>AG35/#REF!*100</f>
        <v>#REF!</v>
      </c>
      <c r="AJ35" s="170" t="e">
        <f>AH35/#REF!*100</f>
        <v>#REF!</v>
      </c>
      <c r="AK35" s="185" t="e">
        <f>AG35-#REF!</f>
        <v>#REF!</v>
      </c>
      <c r="AL35" s="185" t="e">
        <f>AH35-#REF!</f>
        <v>#REF!</v>
      </c>
    </row>
    <row r="36" spans="1:38" ht="30" x14ac:dyDescent="0.25">
      <c r="A36" s="176">
        <v>3</v>
      </c>
      <c r="B36" s="164" t="s">
        <v>232</v>
      </c>
      <c r="C36" s="165"/>
      <c r="D36" s="165"/>
      <c r="E36" s="165"/>
      <c r="F36" s="165"/>
      <c r="G36" s="198">
        <v>39</v>
      </c>
      <c r="H36" s="198">
        <v>47</v>
      </c>
      <c r="I36" s="204">
        <v>54.126595494914156</v>
      </c>
      <c r="J36" s="204">
        <v>65.38539549491415</v>
      </c>
      <c r="K36" s="202">
        <v>138.78614229465168</v>
      </c>
      <c r="L36" s="202">
        <v>139.11786275513649</v>
      </c>
      <c r="M36" s="202">
        <v>15.126595494914156</v>
      </c>
      <c r="N36" s="202">
        <v>18.38539549491415</v>
      </c>
      <c r="O36" s="204">
        <v>38.658000000000001</v>
      </c>
      <c r="P36" s="204">
        <v>47.17</v>
      </c>
      <c r="Q36" s="202">
        <v>99.123076923076923</v>
      </c>
      <c r="R36" s="202">
        <v>100.36170212765958</v>
      </c>
      <c r="S36" s="202">
        <v>-0.34199999999999875</v>
      </c>
      <c r="T36" s="202">
        <v>0.17000000000000171</v>
      </c>
      <c r="U36" s="280">
        <f>'кр-вр преб по учрежд'!R33</f>
        <v>52.549634890679187</v>
      </c>
      <c r="V36" s="280">
        <f>'кр-вр преб по учрежд'!S33</f>
        <v>64.125453610257097</v>
      </c>
      <c r="W36" s="170">
        <f t="shared" si="8"/>
        <v>134.74265356584408</v>
      </c>
      <c r="X36" s="205">
        <f t="shared" si="9"/>
        <v>136.43713534097256</v>
      </c>
      <c r="Y36" s="192">
        <f t="shared" si="10"/>
        <v>13.549634890679187</v>
      </c>
      <c r="Z36" s="192">
        <f t="shared" si="11"/>
        <v>17.125453610257097</v>
      </c>
      <c r="AA36" s="180">
        <v>38.658000000000001</v>
      </c>
      <c r="AB36" s="180">
        <v>47.17</v>
      </c>
      <c r="AC36" s="170" t="e">
        <f>AA36/#REF!*100</f>
        <v>#REF!</v>
      </c>
      <c r="AD36" s="170" t="e">
        <f>AB36/#REF!*100</f>
        <v>#REF!</v>
      </c>
      <c r="AE36" s="172" t="e">
        <f>AA36-#REF!</f>
        <v>#REF!</v>
      </c>
      <c r="AF36" s="172" t="e">
        <f>AB36-#REF!</f>
        <v>#REF!</v>
      </c>
      <c r="AG36" s="180" t="e">
        <f>#REF!+0.134*#REF!</f>
        <v>#REF!</v>
      </c>
      <c r="AH36" s="180" t="e">
        <f>#REF!+0.134*#REF!</f>
        <v>#REF!</v>
      </c>
      <c r="AI36" s="170" t="e">
        <f>AG36/#REF!*100</f>
        <v>#REF!</v>
      </c>
      <c r="AJ36" s="170" t="e">
        <f>AH36/#REF!*100</f>
        <v>#REF!</v>
      </c>
      <c r="AK36" s="172" t="e">
        <f>AG36-#REF!</f>
        <v>#REF!</v>
      </c>
      <c r="AL36" s="172" t="e">
        <f>AH36-#REF!</f>
        <v>#REF!</v>
      </c>
    </row>
    <row r="37" spans="1:38" ht="30" x14ac:dyDescent="0.25">
      <c r="A37" s="176">
        <v>4</v>
      </c>
      <c r="B37" s="164" t="s">
        <v>233</v>
      </c>
      <c r="C37" s="165"/>
      <c r="D37" s="165"/>
      <c r="E37" s="165"/>
      <c r="F37" s="165"/>
      <c r="G37" s="198">
        <v>16</v>
      </c>
      <c r="H37" s="198">
        <v>19</v>
      </c>
      <c r="I37" s="204">
        <v>24.532035494914158</v>
      </c>
      <c r="J37" s="204">
        <v>28.392195494914159</v>
      </c>
      <c r="K37" s="202">
        <v>153.32522184321348</v>
      </c>
      <c r="L37" s="202">
        <v>149.43260786796927</v>
      </c>
      <c r="M37" s="202">
        <v>8.5320354949141581</v>
      </c>
      <c r="N37" s="202">
        <v>9.3921954949141586</v>
      </c>
      <c r="O37" s="204">
        <v>16.2836</v>
      </c>
      <c r="P37" s="204">
        <v>19.201999999999998</v>
      </c>
      <c r="Q37" s="202">
        <v>101.77249999999999</v>
      </c>
      <c r="R37" s="202">
        <v>101.06315789473683</v>
      </c>
      <c r="S37" s="202">
        <v>0.28359999999999985</v>
      </c>
      <c r="T37" s="202">
        <v>0.20199999999999818</v>
      </c>
      <c r="U37" s="280">
        <f>'кр-вр преб по учрежд'!R42</f>
        <v>22.121768542074392</v>
      </c>
      <c r="V37" s="280">
        <f>'кр-вр преб по учрежд'!S42</f>
        <v>26.090620674501107</v>
      </c>
      <c r="W37" s="170">
        <f t="shared" si="8"/>
        <v>138.26105338796495</v>
      </c>
      <c r="X37" s="205">
        <f t="shared" si="9"/>
        <v>137.31905618158478</v>
      </c>
      <c r="Y37" s="192">
        <f t="shared" si="10"/>
        <v>6.1217685420743919</v>
      </c>
      <c r="Z37" s="192">
        <f t="shared" si="11"/>
        <v>7.0906206745011069</v>
      </c>
      <c r="AA37" s="180">
        <v>16.2836</v>
      </c>
      <c r="AB37" s="180">
        <v>19.201999999999998</v>
      </c>
      <c r="AC37" s="170" t="e">
        <f>AA37/#REF!*100</f>
        <v>#REF!</v>
      </c>
      <c r="AD37" s="170" t="e">
        <f>AB37/#REF!*100</f>
        <v>#REF!</v>
      </c>
      <c r="AE37" s="172" t="e">
        <f>AA37-#REF!</f>
        <v>#REF!</v>
      </c>
      <c r="AF37" s="172" t="e">
        <f>AB37-#REF!</f>
        <v>#REF!</v>
      </c>
      <c r="AG37" s="180" t="e">
        <f>#REF!+0.134*#REF!</f>
        <v>#REF!</v>
      </c>
      <c r="AH37" s="180" t="e">
        <f>#REF!+0.134*#REF!</f>
        <v>#REF!</v>
      </c>
      <c r="AI37" s="170" t="e">
        <f>AG37/#REF!*100</f>
        <v>#REF!</v>
      </c>
      <c r="AJ37" s="170" t="e">
        <f>AH37/#REF!*100</f>
        <v>#REF!</v>
      </c>
      <c r="AK37" s="172" t="e">
        <f>AG37-#REF!</f>
        <v>#REF!</v>
      </c>
      <c r="AL37" s="172" t="e">
        <f>AH37-#REF!</f>
        <v>#REF!</v>
      </c>
    </row>
    <row r="38" spans="1:38" ht="30" x14ac:dyDescent="0.25">
      <c r="A38" s="176">
        <v>5</v>
      </c>
      <c r="B38" s="164" t="s">
        <v>234</v>
      </c>
      <c r="C38" s="165"/>
      <c r="D38" s="165"/>
      <c r="E38" s="165"/>
      <c r="F38" s="165"/>
      <c r="G38" s="198">
        <v>31</v>
      </c>
      <c r="H38" s="198">
        <v>37</v>
      </c>
      <c r="I38" s="204">
        <v>43.832835494914164</v>
      </c>
      <c r="J38" s="204">
        <v>52.518195494914153</v>
      </c>
      <c r="K38" s="202">
        <v>141.39624353198116</v>
      </c>
      <c r="L38" s="202">
        <v>141.94106890517338</v>
      </c>
      <c r="M38" s="202">
        <v>12.832835494914164</v>
      </c>
      <c r="N38" s="202">
        <v>15.518195494914153</v>
      </c>
      <c r="O38" s="204">
        <v>30.875600000000002</v>
      </c>
      <c r="P38" s="204">
        <v>37.442</v>
      </c>
      <c r="Q38" s="202">
        <v>99.598709677419365</v>
      </c>
      <c r="R38" s="202">
        <v>101.19459459459459</v>
      </c>
      <c r="S38" s="202">
        <v>-0.12439999999999785</v>
      </c>
      <c r="T38" s="202">
        <v>0.44200000000000017</v>
      </c>
      <c r="U38" s="280">
        <f>'кр-вр преб по учрежд'!R51</f>
        <v>41.966029204207956</v>
      </c>
      <c r="V38" s="280">
        <f>'кр-вр преб по учрежд'!S51</f>
        <v>50.895946502168059</v>
      </c>
      <c r="W38" s="170">
        <f t="shared" si="8"/>
        <v>135.37428775550953</v>
      </c>
      <c r="X38" s="205">
        <f t="shared" si="9"/>
        <v>137.55661216802179</v>
      </c>
      <c r="Y38" s="192">
        <f t="shared" si="10"/>
        <v>10.966029204207956</v>
      </c>
      <c r="Z38" s="192">
        <f t="shared" si="11"/>
        <v>13.895946502168059</v>
      </c>
      <c r="AA38" s="180">
        <v>30.875600000000002</v>
      </c>
      <c r="AB38" s="180">
        <v>37.442</v>
      </c>
      <c r="AC38" s="170" t="e">
        <f>AA38/#REF!*100</f>
        <v>#REF!</v>
      </c>
      <c r="AD38" s="170" t="e">
        <f>AB38/#REF!*100</f>
        <v>#REF!</v>
      </c>
      <c r="AE38" s="172" t="e">
        <f>AA38-#REF!</f>
        <v>#REF!</v>
      </c>
      <c r="AF38" s="172" t="e">
        <f>AB38-#REF!</f>
        <v>#REF!</v>
      </c>
      <c r="AG38" s="180" t="e">
        <f>#REF!+0.134*#REF!</f>
        <v>#REF!</v>
      </c>
      <c r="AH38" s="180" t="e">
        <f>#REF!+0.134*#REF!</f>
        <v>#REF!</v>
      </c>
      <c r="AI38" s="170" t="e">
        <f>AG38/#REF!*100</f>
        <v>#REF!</v>
      </c>
      <c r="AJ38" s="170" t="e">
        <f>AH38/#REF!*100</f>
        <v>#REF!</v>
      </c>
      <c r="AK38" s="172" t="e">
        <f>AG38-#REF!</f>
        <v>#REF!</v>
      </c>
      <c r="AL38" s="172" t="e">
        <f>AH38-#REF!</f>
        <v>#REF!</v>
      </c>
    </row>
    <row r="39" spans="1:38" ht="30" x14ac:dyDescent="0.25">
      <c r="A39" s="176">
        <v>6</v>
      </c>
      <c r="B39" s="166" t="s">
        <v>235</v>
      </c>
      <c r="C39" s="165"/>
      <c r="D39" s="165"/>
      <c r="E39" s="165"/>
      <c r="F39" s="165"/>
      <c r="G39" s="198">
        <v>10</v>
      </c>
      <c r="H39" s="198">
        <v>11</v>
      </c>
      <c r="I39" s="204">
        <v>16.32919549491416</v>
      </c>
      <c r="J39" s="204">
        <v>18.138645494914158</v>
      </c>
      <c r="K39" s="202">
        <v>163.2919549491416</v>
      </c>
      <c r="L39" s="202">
        <v>164.89677722649233</v>
      </c>
      <c r="M39" s="202">
        <v>6.3291954949141598</v>
      </c>
      <c r="N39" s="202">
        <v>7.138645494914158</v>
      </c>
      <c r="O39" s="204">
        <v>10.082000000000001</v>
      </c>
      <c r="P39" s="204">
        <v>11.450000000000001</v>
      </c>
      <c r="Q39" s="202">
        <v>100.82</v>
      </c>
      <c r="R39" s="202">
        <v>104.09090909090909</v>
      </c>
      <c r="S39" s="202">
        <v>8.2000000000000739E-2</v>
      </c>
      <c r="T39" s="202">
        <v>0.45000000000000107</v>
      </c>
      <c r="U39" s="280">
        <f>'кр-вр преб по учрежд'!R60</f>
        <v>13.687957760667629</v>
      </c>
      <c r="V39" s="280">
        <f>'кр-вр преб по учрежд'!S60</f>
        <v>15.54835719774265</v>
      </c>
      <c r="W39" s="170">
        <f t="shared" si="8"/>
        <v>136.87957760667629</v>
      </c>
      <c r="X39" s="205">
        <f t="shared" si="9"/>
        <v>141.34870179766045</v>
      </c>
      <c r="Y39" s="192">
        <f t="shared" si="10"/>
        <v>3.6879577606676293</v>
      </c>
      <c r="Z39" s="192">
        <f t="shared" si="11"/>
        <v>4.54835719774265</v>
      </c>
      <c r="AA39" s="180">
        <v>10.082000000000001</v>
      </c>
      <c r="AB39" s="180">
        <v>11.450000000000001</v>
      </c>
      <c r="AC39" s="170" t="e">
        <f>AA39/#REF!*100</f>
        <v>#REF!</v>
      </c>
      <c r="AD39" s="170" t="e">
        <f>AB39/#REF!*100</f>
        <v>#REF!</v>
      </c>
      <c r="AE39" s="172" t="e">
        <f>AA39-#REF!</f>
        <v>#REF!</v>
      </c>
      <c r="AF39" s="172" t="e">
        <f>AB39-#REF!</f>
        <v>#REF!</v>
      </c>
      <c r="AG39" s="180" t="e">
        <f>#REF!+0.134*#REF!</f>
        <v>#REF!</v>
      </c>
      <c r="AH39" s="180" t="e">
        <f>#REF!+0.134*#REF!</f>
        <v>#REF!</v>
      </c>
      <c r="AI39" s="170" t="e">
        <f>AG39/#REF!*100</f>
        <v>#REF!</v>
      </c>
      <c r="AJ39" s="170" t="e">
        <f>AH39/#REF!*100</f>
        <v>#REF!</v>
      </c>
      <c r="AK39" s="172" t="e">
        <f>AG39-#REF!</f>
        <v>#REF!</v>
      </c>
      <c r="AL39" s="172" t="e">
        <f>AH39-#REF!</f>
        <v>#REF!</v>
      </c>
    </row>
    <row r="40" spans="1:38" ht="30" x14ac:dyDescent="0.25">
      <c r="A40" s="176">
        <v>7</v>
      </c>
      <c r="B40" s="166" t="s">
        <v>236</v>
      </c>
      <c r="C40" s="165"/>
      <c r="D40" s="165"/>
      <c r="E40" s="165"/>
      <c r="F40" s="165"/>
      <c r="G40" s="198">
        <v>43</v>
      </c>
      <c r="H40" s="198">
        <v>52</v>
      </c>
      <c r="I40" s="204">
        <v>59.75599549491416</v>
      </c>
      <c r="J40" s="204">
        <v>72.422145494914147</v>
      </c>
      <c r="K40" s="202">
        <v>138.9674313835213</v>
      </c>
      <c r="L40" s="202">
        <v>139.27335672098874</v>
      </c>
      <c r="M40" s="202">
        <v>16.75599549491416</v>
      </c>
      <c r="N40" s="202">
        <v>20.422145494914147</v>
      </c>
      <c r="O40" s="204">
        <v>42.914000000000001</v>
      </c>
      <c r="P40" s="204">
        <v>52.489999999999995</v>
      </c>
      <c r="Q40" s="202">
        <v>99.8</v>
      </c>
      <c r="R40" s="202">
        <v>100.94230769230768</v>
      </c>
      <c r="S40" s="202">
        <v>-8.5999999999998522E-2</v>
      </c>
      <c r="T40" s="202">
        <v>0.48999999999999488</v>
      </c>
      <c r="U40" s="280">
        <f>'кр-вр преб по учрежд'!R69</f>
        <v>58.337544250468142</v>
      </c>
      <c r="V40" s="280">
        <f>'кр-вр преб по учрежд'!S69</f>
        <v>71.36034030999329</v>
      </c>
      <c r="W40" s="170">
        <f t="shared" si="8"/>
        <v>135.66870755922824</v>
      </c>
      <c r="X40" s="205">
        <f t="shared" si="9"/>
        <v>137.23142367306403</v>
      </c>
      <c r="Y40" s="192">
        <f t="shared" si="10"/>
        <v>15.337544250468142</v>
      </c>
      <c r="Z40" s="192">
        <f t="shared" si="11"/>
        <v>19.36034030999329</v>
      </c>
      <c r="AA40" s="180">
        <v>42.914000000000001</v>
      </c>
      <c r="AB40" s="180">
        <v>52.489999999999995</v>
      </c>
      <c r="AC40" s="170" t="e">
        <f>AA40/#REF!*100</f>
        <v>#REF!</v>
      </c>
      <c r="AD40" s="170" t="e">
        <f>AB40/#REF!*100</f>
        <v>#REF!</v>
      </c>
      <c r="AE40" s="172" t="e">
        <f>AA40-#REF!</f>
        <v>#REF!</v>
      </c>
      <c r="AF40" s="172" t="e">
        <f>AB40-#REF!</f>
        <v>#REF!</v>
      </c>
      <c r="AG40" s="180" t="e">
        <f>#REF!+0.134*#REF!</f>
        <v>#REF!</v>
      </c>
      <c r="AH40" s="180" t="e">
        <f>#REF!+0.134*#REF!</f>
        <v>#REF!</v>
      </c>
      <c r="AI40" s="170" t="e">
        <f>AG40/#REF!*100</f>
        <v>#REF!</v>
      </c>
      <c r="AJ40" s="170" t="e">
        <f>AH40/#REF!*100</f>
        <v>#REF!</v>
      </c>
      <c r="AK40" s="172" t="e">
        <f>AG40-#REF!</f>
        <v>#REF!</v>
      </c>
      <c r="AL40" s="172" t="e">
        <f>AH40-#REF!</f>
        <v>#REF!</v>
      </c>
    </row>
    <row r="41" spans="1:38" ht="30" x14ac:dyDescent="0.25">
      <c r="A41" s="176">
        <v>8</v>
      </c>
      <c r="B41" s="166" t="s">
        <v>237</v>
      </c>
      <c r="C41" s="165"/>
      <c r="D41" s="165"/>
      <c r="E41" s="165"/>
      <c r="F41" s="165"/>
      <c r="G41" s="198">
        <v>18</v>
      </c>
      <c r="H41" s="198">
        <v>21</v>
      </c>
      <c r="I41" s="204">
        <v>26.462115494914158</v>
      </c>
      <c r="J41" s="204">
        <v>30.804795494914156</v>
      </c>
      <c r="K41" s="202">
        <v>147.01175274952308</v>
      </c>
      <c r="L41" s="202">
        <v>146.68950235673407</v>
      </c>
      <c r="M41" s="202">
        <v>8.4621154949141584</v>
      </c>
      <c r="N41" s="202">
        <v>9.8047954949141563</v>
      </c>
      <c r="O41" s="204">
        <v>17.742800000000003</v>
      </c>
      <c r="P41" s="204">
        <v>21.026</v>
      </c>
      <c r="Q41" s="202">
        <v>98.571111111111122</v>
      </c>
      <c r="R41" s="202">
        <v>100.12380952380953</v>
      </c>
      <c r="S41" s="202">
        <v>-0.25719999999999743</v>
      </c>
      <c r="T41" s="202">
        <v>2.5999999999999801E-2</v>
      </c>
      <c r="U41" s="280">
        <f>'кр-вр преб по учрежд'!R78</f>
        <v>24.106194608287748</v>
      </c>
      <c r="V41" s="280">
        <f>'кр-вр преб по учрежд'!S78</f>
        <v>28.571153257267799</v>
      </c>
      <c r="W41" s="170">
        <f t="shared" si="8"/>
        <v>133.92330337937636</v>
      </c>
      <c r="X41" s="205">
        <f t="shared" si="9"/>
        <v>136.05311074889428</v>
      </c>
      <c r="Y41" s="192">
        <f t="shared" si="10"/>
        <v>6.1061946082877476</v>
      </c>
      <c r="Z41" s="192">
        <f t="shared" si="11"/>
        <v>7.5711532572677989</v>
      </c>
      <c r="AA41" s="180">
        <v>17.742800000000003</v>
      </c>
      <c r="AB41" s="180">
        <v>21.026</v>
      </c>
      <c r="AC41" s="170" t="e">
        <f>AA41/#REF!*100</f>
        <v>#REF!</v>
      </c>
      <c r="AD41" s="170" t="e">
        <f>AB41/#REF!*100</f>
        <v>#REF!</v>
      </c>
      <c r="AE41" s="172" t="e">
        <f>AA41-#REF!</f>
        <v>#REF!</v>
      </c>
      <c r="AF41" s="172" t="e">
        <f>AB41-#REF!</f>
        <v>#REF!</v>
      </c>
      <c r="AG41" s="180" t="e">
        <f>#REF!+0.134*#REF!</f>
        <v>#REF!</v>
      </c>
      <c r="AH41" s="180" t="e">
        <f>#REF!+0.134*#REF!</f>
        <v>#REF!</v>
      </c>
      <c r="AI41" s="170" t="e">
        <f>AG41/#REF!*100</f>
        <v>#REF!</v>
      </c>
      <c r="AJ41" s="170" t="e">
        <f>AH41/#REF!*100</f>
        <v>#REF!</v>
      </c>
      <c r="AK41" s="172" t="e">
        <f>AG41-#REF!</f>
        <v>#REF!</v>
      </c>
      <c r="AL41" s="172" t="e">
        <f>AH41-#REF!</f>
        <v>#REF!</v>
      </c>
    </row>
    <row r="42" spans="1:38" ht="43.5" customHeight="1" x14ac:dyDescent="0.25">
      <c r="A42" s="418" t="s">
        <v>265</v>
      </c>
      <c r="B42" s="419"/>
      <c r="C42" s="189"/>
      <c r="D42" s="189"/>
      <c r="E42" s="189"/>
      <c r="F42" s="189"/>
      <c r="G42" s="189">
        <v>24.25</v>
      </c>
      <c r="H42" s="189">
        <v>29</v>
      </c>
      <c r="I42" s="203">
        <v>35.067055494914158</v>
      </c>
      <c r="J42" s="203">
        <v>41.560970494914152</v>
      </c>
      <c r="K42" s="199">
        <v>149.75478150431277</v>
      </c>
      <c r="L42" s="199">
        <v>147.17285410710778</v>
      </c>
      <c r="M42" s="199">
        <v>10.817055494914159</v>
      </c>
      <c r="N42" s="199">
        <v>12.560970494914155</v>
      </c>
      <c r="O42" s="203">
        <v>24.248400000000004</v>
      </c>
      <c r="P42" s="203">
        <v>29.158000000000001</v>
      </c>
      <c r="Q42" s="199">
        <v>100.5999009044271</v>
      </c>
      <c r="R42" s="199">
        <v>100.54405209411181</v>
      </c>
      <c r="S42" s="199">
        <v>-1.5999999999989356E-3</v>
      </c>
      <c r="T42" s="199">
        <v>0.15799999999999925</v>
      </c>
      <c r="U42" s="281">
        <f>AVERAGE(U34:U41)</f>
        <v>32.953427486822292</v>
      </c>
      <c r="V42" s="281">
        <f t="shared" ref="V42:AL42" si="12">AVERAGE(V34:V41)</f>
        <v>39.630194355435982</v>
      </c>
      <c r="W42" s="170">
        <f t="shared" si="8"/>
        <v>135.89042262607131</v>
      </c>
      <c r="X42" s="205">
        <f t="shared" si="9"/>
        <v>136.65584260495166</v>
      </c>
      <c r="Y42" s="192">
        <f t="shared" si="10"/>
        <v>8.7034274868222923</v>
      </c>
      <c r="Z42" s="192">
        <f t="shared" si="11"/>
        <v>10.630194355435982</v>
      </c>
      <c r="AA42" s="183">
        <f t="shared" si="12"/>
        <v>24.248400000000004</v>
      </c>
      <c r="AB42" s="183">
        <f t="shared" si="12"/>
        <v>29.158000000000001</v>
      </c>
      <c r="AC42" s="188" t="e">
        <f t="shared" si="12"/>
        <v>#REF!</v>
      </c>
      <c r="AD42" s="188" t="e">
        <f t="shared" si="12"/>
        <v>#REF!</v>
      </c>
      <c r="AE42" s="188" t="e">
        <f t="shared" si="12"/>
        <v>#REF!</v>
      </c>
      <c r="AF42" s="188" t="e">
        <f t="shared" si="12"/>
        <v>#REF!</v>
      </c>
      <c r="AG42" s="180" t="e">
        <f>#REF!+0.134*#REF!</f>
        <v>#REF!</v>
      </c>
      <c r="AH42" s="180" t="e">
        <f>#REF!+0.134*#REF!</f>
        <v>#REF!</v>
      </c>
      <c r="AI42" s="188" t="e">
        <f t="shared" si="12"/>
        <v>#REF!</v>
      </c>
      <c r="AJ42" s="188" t="e">
        <f t="shared" si="12"/>
        <v>#REF!</v>
      </c>
      <c r="AK42" s="188" t="e">
        <f t="shared" si="12"/>
        <v>#REF!</v>
      </c>
      <c r="AL42" s="188" t="e">
        <f t="shared" si="12"/>
        <v>#REF!</v>
      </c>
    </row>
  </sheetData>
  <mergeCells count="59">
    <mergeCell ref="M5:M6"/>
    <mergeCell ref="N5:N6"/>
    <mergeCell ref="O5:O6"/>
    <mergeCell ref="P5:P6"/>
    <mergeCell ref="H5:H6"/>
    <mergeCell ref="I5:I6"/>
    <mergeCell ref="J5:J6"/>
    <mergeCell ref="K5:K6"/>
    <mergeCell ref="L5:L6"/>
    <mergeCell ref="A42:B42"/>
    <mergeCell ref="AK4:AL4"/>
    <mergeCell ref="AI4:AJ4"/>
    <mergeCell ref="AG4:AH4"/>
    <mergeCell ref="A32:B32"/>
    <mergeCell ref="AG5:AG6"/>
    <mergeCell ref="AH5:AH6"/>
    <mergeCell ref="AI5:AI6"/>
    <mergeCell ref="AJ5:AJ6"/>
    <mergeCell ref="AK5:AK6"/>
    <mergeCell ref="AL5:AL6"/>
    <mergeCell ref="AC4:AD4"/>
    <mergeCell ref="AE4:AF4"/>
    <mergeCell ref="AA5:AA6"/>
    <mergeCell ref="AB5:AB6"/>
    <mergeCell ref="G5:G6"/>
    <mergeCell ref="AC5:AC6"/>
    <mergeCell ref="AD5:AD6"/>
    <mergeCell ref="AE5:AE6"/>
    <mergeCell ref="AF5:AF6"/>
    <mergeCell ref="AA4:AB4"/>
    <mergeCell ref="O4:P4"/>
    <mergeCell ref="W5:W6"/>
    <mergeCell ref="X5:X6"/>
    <mergeCell ref="Y5:Y6"/>
    <mergeCell ref="Z5:Z6"/>
    <mergeCell ref="W4:X4"/>
    <mergeCell ref="Y4:Z4"/>
    <mergeCell ref="Q4:R4"/>
    <mergeCell ref="S4:T4"/>
    <mergeCell ref="Q5:Q6"/>
    <mergeCell ref="R5:R6"/>
    <mergeCell ref="S5:S6"/>
    <mergeCell ref="T5:T6"/>
    <mergeCell ref="A2:AM2"/>
    <mergeCell ref="U5:U6"/>
    <mergeCell ref="V5:V6"/>
    <mergeCell ref="A4:A6"/>
    <mergeCell ref="B4:B6"/>
    <mergeCell ref="C4:D4"/>
    <mergeCell ref="E4:F4"/>
    <mergeCell ref="U4:V4"/>
    <mergeCell ref="C5:C6"/>
    <mergeCell ref="D5:D6"/>
    <mergeCell ref="E5:E6"/>
    <mergeCell ref="F5:F6"/>
    <mergeCell ref="G4:H4"/>
    <mergeCell ref="I4:J4"/>
    <mergeCell ref="K4:L4"/>
    <mergeCell ref="M4:N4"/>
  </mergeCells>
  <conditionalFormatting sqref="B7:B8">
    <cfRule type="cellIs" dxfId="7" priority="8" stopIfTrue="1" operator="equal">
      <formula>"ИТОГО"</formula>
    </cfRule>
  </conditionalFormatting>
  <conditionalFormatting sqref="B9">
    <cfRule type="cellIs" dxfId="6" priority="7" stopIfTrue="1" operator="equal">
      <formula>"ИТОГО"</formula>
    </cfRule>
  </conditionalFormatting>
  <conditionalFormatting sqref="B10">
    <cfRule type="cellIs" dxfId="5" priority="6" stopIfTrue="1" operator="equal">
      <formula>"ИТОГО"</formula>
    </cfRule>
  </conditionalFormatting>
  <conditionalFormatting sqref="B11">
    <cfRule type="cellIs" dxfId="4" priority="5" stopIfTrue="1" operator="equal">
      <formula>"ИТОГО"</formula>
    </cfRule>
  </conditionalFormatting>
  <conditionalFormatting sqref="B12">
    <cfRule type="cellIs" dxfId="3" priority="4" stopIfTrue="1" operator="equal">
      <formula>"ИТОГО"</formula>
    </cfRule>
  </conditionalFormatting>
  <conditionalFormatting sqref="B13:B15">
    <cfRule type="cellIs" dxfId="2" priority="3" stopIfTrue="1" operator="equal">
      <formula>"ИТОГО"</formula>
    </cfRule>
  </conditionalFormatting>
  <conditionalFormatting sqref="B17:B19">
    <cfRule type="cellIs" dxfId="1" priority="2" stopIfTrue="1" operator="equal">
      <formula>"ИТОГО"</formula>
    </cfRule>
  </conditionalFormatting>
  <conditionalFormatting sqref="B20:B26">
    <cfRule type="cellIs" dxfId="0" priority="1" stopIfTrue="1" operator="equal">
      <formula>"ИТОГО"</formula>
    </cfRule>
  </conditionalFormatting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от продуктов</vt:lpstr>
      <vt:lpstr>от продуктов (МРОТ)</vt:lpstr>
      <vt:lpstr>расчет по учреждениям</vt:lpstr>
      <vt:lpstr>присмотр МДОО</vt:lpstr>
      <vt:lpstr>присмотр гр КВП</vt:lpstr>
      <vt:lpstr>кр-вр преб по учрежд</vt:lpstr>
      <vt:lpstr>Анализ 2021 г.</vt:lpstr>
      <vt:lpstr>от индекса</vt:lpstr>
      <vt:lpstr>Анализ 2022</vt:lpstr>
      <vt:lpstr>'Анализ 2021 г.'!Область_печати</vt:lpstr>
      <vt:lpstr>'Анализ 2022'!Область_печати</vt:lpstr>
      <vt:lpstr>'от индекса'!Область_печати</vt:lpstr>
      <vt:lpstr>'присмотр гр КВП'!Область_печати</vt:lpstr>
      <vt:lpstr>'присмотр МДОО'!Область_печати</vt:lpstr>
      <vt:lpstr>'расчет по учреждениям'!Область_печати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roo-anna</dc:creator>
  <cp:lastModifiedBy>ZX</cp:lastModifiedBy>
  <cp:lastPrinted>2022-11-23T06:15:04Z</cp:lastPrinted>
  <dcterms:created xsi:type="dcterms:W3CDTF">2018-03-01T05:58:00Z</dcterms:created>
  <dcterms:modified xsi:type="dcterms:W3CDTF">2022-11-23T06:15:07Z</dcterms:modified>
</cp:coreProperties>
</file>